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veda\MarketCache\ЯЧЕЙКИ\00_ДЕПАРТАМЕНТ_ПРОДАЖ_ОБОРУДОВАНИЯ\Входящие заявки\Продвижение\ОЛ для клиентов\"/>
    </mc:Choice>
  </mc:AlternateContent>
  <bookViews>
    <workbookView xWindow="1845" yWindow="-15" windowWidth="11610" windowHeight="9615" tabRatio="609"/>
  </bookViews>
  <sheets>
    <sheet name="ОЛ" sheetId="1" r:id="rId1"/>
    <sheet name="Списки" sheetId="2" state="hidden" r:id="rId2"/>
    <sheet name="автоматы и токи" sheetId="3" state="hidden" r:id="rId3"/>
  </sheets>
  <definedNames>
    <definedName name="GSM">Списки!$D$54:$I$54</definedName>
    <definedName name="Iномввод">Списки!$C$31:$M$31</definedName>
    <definedName name="IномОЛ">Списки!$C$45:$U$45</definedName>
    <definedName name="Iномрв">Списки!$C$29:$G$29</definedName>
    <definedName name="Iномсекц">Списки!$C$39:$L$39</definedName>
    <definedName name="OptiBlock0">'автоматы и токи'!$A$2:$A$18</definedName>
    <definedName name="OptiBlock1">'автоматы и токи'!$A$2:$A$20</definedName>
    <definedName name="OptiBlock2">'автоматы и токи'!$A$12:$A$22</definedName>
    <definedName name="OptiBlock3">'автоматы и токи'!$A$16:$A$24</definedName>
    <definedName name="OptidinBM125">'автоматы и токи'!$A$15:$A$17</definedName>
    <definedName name="OptidinBM63">'автоматы и токи'!$A$2:$A$14</definedName>
    <definedName name="OptiMatD">'автоматы и токи'!$A$16:$A$29</definedName>
    <definedName name="OptiMatE">'автоматы и токи'!$A$7:$A$20</definedName>
    <definedName name="Uном">Списки!$C$12:$D$12</definedName>
    <definedName name="ав">#REF!</definedName>
    <definedName name="автоматы">'автоматы и токи'!$B$1:$AC$1</definedName>
    <definedName name="Амперметры">Списки!$C$34:$D$34</definedName>
    <definedName name="ВА0436">'автоматы и токи'!$A$7:$A$22</definedName>
    <definedName name="ВА4729">'автоматы и токи'!$A$2:$A$14</definedName>
    <definedName name="ВА5135">'автоматы и токи'!$A$7:$A$22</definedName>
    <definedName name="ВА5139">'автоматы и токи'!$A$20:$A$24</definedName>
    <definedName name="ВА5341">'автоматы и токи'!$A$20:$A$27</definedName>
    <definedName name="ВА5343">'автоматы и токи'!$A$29:$A$30</definedName>
    <definedName name="ВА5541">'автоматы и токи'!$A$20:$A$27</definedName>
    <definedName name="ВА5543">'автоматы и токи'!$A$29:$A$30</definedName>
    <definedName name="ВА5731">'автоматы и токи'!$A$7:$A$16</definedName>
    <definedName name="ВА5735">'автоматы и токи'!$A$7:$A$20</definedName>
    <definedName name="ВА5739">'автоматы и токи'!$A$20:$A$24</definedName>
    <definedName name="ВА57Ф31">'автоматы и токи'!$A$7:$A$16</definedName>
    <definedName name="ВА57Ф35">'автоматы и токи'!$A$7:$A$20</definedName>
    <definedName name="ВА8832">'автоматы и токи'!$A$6:$A$17</definedName>
    <definedName name="ВА8833">'автоматы и токи'!$A$7:$A$18</definedName>
    <definedName name="ВА8835">'автоматы и токи'!$A$17:$A$20</definedName>
    <definedName name="ВА8837">'автоматы и токи'!$A$20:$A$22</definedName>
    <definedName name="ВА8840">'автоматы и токи'!$A$22:$A$26</definedName>
    <definedName name="ВА8843">'автоматы и токи'!$A$27:$A$29</definedName>
    <definedName name="ВентТО">Списки!$C$9:$D$9</definedName>
    <definedName name="ВНАп">Списки!$C$18:$H$18</definedName>
    <definedName name="ВоздухКабель">Списки!$C$13:$D$13</definedName>
    <definedName name="Вольтметр">Списки!$C$33:$D$33</definedName>
    <definedName name="Выключательввод">Списки!$C$30:$L$30</definedName>
    <definedName name="Климат">Списки!$C$15:$D$15</definedName>
    <definedName name="КолОЛ">Списки!$C$46:$X$46</definedName>
    <definedName name="Колтр">Списки!$C$7:$D$7</definedName>
    <definedName name="Комм">Списки!$C$55:$S$55</definedName>
    <definedName name="МГ">Списки!$C$17:$D$17</definedName>
    <definedName name="модуль">#REF!</definedName>
    <definedName name="Мощность">Списки!$C$8:$K$8</definedName>
    <definedName name="НЕТ">'автоматы и токи'!$A$32</definedName>
    <definedName name="опн">#REF!</definedName>
    <definedName name="ОПНВН10">Списки!$M$16:$V$16</definedName>
    <definedName name="ОПНВН6">Списки!$C$16:$L$16</definedName>
    <definedName name="ОПННН">Списки!$C$35:$H$35</definedName>
    <definedName name="ПКТ">Списки!$C$23:$K$23</definedName>
    <definedName name="ПКТ10">Списки!$C$24:$L$24</definedName>
    <definedName name="ПКТ6">Списки!$C$23:$L$23</definedName>
    <definedName name="Предохранитель">Списки!$C$23:$K$24</definedName>
    <definedName name="разъединительввод">Списки!$C$28:$I$28</definedName>
    <definedName name="Разъедсекц">Списки!$C$40:$H$40</definedName>
    <definedName name="рвн">#REF!</definedName>
    <definedName name="ре19">#REF!</definedName>
    <definedName name="Схематр">Списки!$C$11:$F$11</definedName>
    <definedName name="Счетчик">Списки!$C$53:$AA$53</definedName>
    <definedName name="Тип">#REF!</definedName>
    <definedName name="ТипОЛ">Списки!$C$44:$O$44</definedName>
    <definedName name="ТипСекц">Списки!$C$38:$H$38</definedName>
    <definedName name="Типсчетчика">Списки!$C$52:$F$52</definedName>
    <definedName name="Типтр">Списки!$C$10:$G$10</definedName>
    <definedName name="Тртока">Списки!$G$32:$W$32</definedName>
    <definedName name="Тртокаввод">Списки!$C$32:$F$32</definedName>
    <definedName name="тсн">#REF!</definedName>
    <definedName name="тт">#REF!</definedName>
    <definedName name="ТТОЛ">Списки!$C$48:$D$48</definedName>
    <definedName name="Тупиковая">Списки!$C$6:$D$6</definedName>
    <definedName name="увн">#REF!</definedName>
    <definedName name="Фидер">Списки!$C$61:$I$61</definedName>
    <definedName name="Фотореле">Списки!$C$62:$F$62</definedName>
  </definedNames>
  <calcPr calcId="152511"/>
</workbook>
</file>

<file path=xl/calcChain.xml><?xml version="1.0" encoding="utf-8"?>
<calcChain xmlns="http://schemas.openxmlformats.org/spreadsheetml/2006/main">
  <c r="C25" i="1" l="1"/>
  <c r="V24" i="1" l="1"/>
  <c r="L33" i="1" l="1"/>
  <c r="P28" i="1"/>
  <c r="E85" i="2" l="1"/>
  <c r="E84" i="2"/>
  <c r="C88" i="2"/>
  <c r="C87" i="2"/>
  <c r="C81" i="2"/>
  <c r="S8" i="1"/>
  <c r="Q8" i="1" s="1"/>
  <c r="P8" i="1"/>
  <c r="C86" i="2" l="1"/>
  <c r="C84" i="2"/>
  <c r="C83" i="2"/>
  <c r="C85" i="2"/>
  <c r="C82" i="2" l="1"/>
  <c r="C52" i="1" l="1"/>
  <c r="I52" i="1"/>
  <c r="K54" i="1"/>
  <c r="H54" i="1"/>
  <c r="C54" i="1"/>
  <c r="J54" i="1"/>
  <c r="N54" i="1"/>
  <c r="E54" i="1"/>
  <c r="I54" i="1"/>
  <c r="L54" i="1"/>
  <c r="D54" i="1"/>
  <c r="M54" i="1"/>
  <c r="F54" i="1"/>
  <c r="G54" i="1"/>
  <c r="J58" i="1" l="1"/>
  <c r="C58" i="1"/>
  <c r="E70" i="2" l="1"/>
  <c r="E69" i="2"/>
  <c r="G70" i="2" l="1"/>
  <c r="G72" i="2"/>
  <c r="G69" i="2"/>
  <c r="G71" i="2"/>
  <c r="E87" i="2" l="1"/>
  <c r="E86" i="2"/>
  <c r="E83" i="2"/>
  <c r="E75" i="2"/>
  <c r="E74" i="2"/>
  <c r="E72" i="2"/>
  <c r="E71" i="2"/>
  <c r="C69" i="2"/>
  <c r="K16" i="1" l="1"/>
  <c r="K15" i="1"/>
  <c r="L30" i="1" l="1"/>
  <c r="K21" i="1" l="1"/>
  <c r="K18" i="1"/>
  <c r="P29" i="1" l="1"/>
  <c r="E79" i="2" l="1"/>
  <c r="E67" i="2"/>
  <c r="E89" i="2" l="1"/>
  <c r="C89" i="2"/>
  <c r="G73" i="2"/>
  <c r="G76" i="2"/>
  <c r="G74" i="2"/>
  <c r="G75" i="2"/>
  <c r="B64" i="1" l="1"/>
  <c r="E73" i="2"/>
  <c r="C71" i="2"/>
  <c r="C70" i="2"/>
  <c r="G77" i="2" l="1"/>
  <c r="E77" i="2"/>
  <c r="E42" i="1"/>
  <c r="N42" i="1"/>
  <c r="I42" i="1"/>
  <c r="G42" i="1"/>
  <c r="C42" i="1"/>
  <c r="H42" i="1"/>
  <c r="L42" i="1"/>
  <c r="K27" i="1"/>
  <c r="K42" i="1"/>
  <c r="J42" i="1"/>
  <c r="M42" i="1"/>
  <c r="D42" i="1"/>
  <c r="F42" i="1"/>
  <c r="H22" i="2" l="1"/>
  <c r="H23" i="2" s="1"/>
  <c r="H25" i="2"/>
  <c r="K19" i="1"/>
  <c r="K20" i="1"/>
  <c r="C99" i="2"/>
  <c r="C98" i="2"/>
  <c r="C97" i="2"/>
  <c r="D19" i="2"/>
  <c r="E19" i="2"/>
  <c r="F19" i="2"/>
  <c r="G19" i="2"/>
  <c r="H19" i="2"/>
  <c r="I19" i="2"/>
  <c r="K19" i="2"/>
  <c r="C19" i="2"/>
  <c r="H24" i="2" l="1"/>
  <c r="G22" i="1" s="1"/>
  <c r="C103" i="2"/>
  <c r="J46" i="1" s="1"/>
  <c r="K11" i="1"/>
  <c r="A7" i="2" l="1"/>
  <c r="C70" i="1" s="1"/>
  <c r="C77" i="2"/>
  <c r="C46" i="1"/>
</calcChain>
</file>

<file path=xl/sharedStrings.xml><?xml version="1.0" encoding="utf-8"?>
<sst xmlns="http://schemas.openxmlformats.org/spreadsheetml/2006/main" count="502" uniqueCount="299">
  <si>
    <t>Киосковая</t>
  </si>
  <si>
    <t>Тупиковая</t>
  </si>
  <si>
    <t>Проходная</t>
  </si>
  <si>
    <t>Количество трансформаторов</t>
  </si>
  <si>
    <t>Мощность тр-ра (кВА)</t>
  </si>
  <si>
    <t>Тип трансформатора</t>
  </si>
  <si>
    <t>ТМГ</t>
  </si>
  <si>
    <t>Схема соед обмоток</t>
  </si>
  <si>
    <t>Д/Ун-11</t>
  </si>
  <si>
    <t>У/Ун-0</t>
  </si>
  <si>
    <t>У/Zн</t>
  </si>
  <si>
    <t>Номинальное напряжение на стороне ВН (кВ)</t>
  </si>
  <si>
    <t>Тип ввода ВН</t>
  </si>
  <si>
    <t>Воздух</t>
  </si>
  <si>
    <t>Кабель</t>
  </si>
  <si>
    <t>Тип вывода НН</t>
  </si>
  <si>
    <t>Да</t>
  </si>
  <si>
    <t>Нет</t>
  </si>
  <si>
    <t>Тип аппарата ВН</t>
  </si>
  <si>
    <t>НЕТ</t>
  </si>
  <si>
    <t>РВЗ</t>
  </si>
  <si>
    <t>РЛК</t>
  </si>
  <si>
    <t>ПКТ</t>
  </si>
  <si>
    <t>ОПН ВН</t>
  </si>
  <si>
    <t>Тип разъединителя</t>
  </si>
  <si>
    <t>РЕ 19-35</t>
  </si>
  <si>
    <t>РЕ 19-37</t>
  </si>
  <si>
    <t>РЕ 19-39</t>
  </si>
  <si>
    <t>РЕ 19-41</t>
  </si>
  <si>
    <t>Номинальный ток, А</t>
  </si>
  <si>
    <t>Сторона НН (Ввод)</t>
  </si>
  <si>
    <t>Тип выключателя</t>
  </si>
  <si>
    <t>ВА 04-36</t>
  </si>
  <si>
    <t>ВА 55-41</t>
  </si>
  <si>
    <t>Наличие ТТ</t>
  </si>
  <si>
    <t>0,5s</t>
  </si>
  <si>
    <t>Наличие вольтметра</t>
  </si>
  <si>
    <t>ОПН НН</t>
  </si>
  <si>
    <t>Тупиковая/Проходная</t>
  </si>
  <si>
    <t>ВНАп</t>
  </si>
  <si>
    <t>Тип КТП</t>
  </si>
  <si>
    <t>Сторона НН (отходящие линии)</t>
  </si>
  <si>
    <t>Автоматический выключатель, тип</t>
  </si>
  <si>
    <t>Количество</t>
  </si>
  <si>
    <t>Итого количество:</t>
  </si>
  <si>
    <t>Трансформаторы тока на отходящих линиях</t>
  </si>
  <si>
    <t>ВА 51-39</t>
  </si>
  <si>
    <t>Организация</t>
  </si>
  <si>
    <t>Контактное лицо</t>
  </si>
  <si>
    <t>Контактный телефон</t>
  </si>
  <si>
    <t>Наличие амперметров</t>
  </si>
  <si>
    <t>Номинальное напряжение ВН (кВ)</t>
  </si>
  <si>
    <t>Тр. тока на отходящих линиях</t>
  </si>
  <si>
    <t>сумма</t>
  </si>
  <si>
    <t>Количество, шт.</t>
  </si>
  <si>
    <t>Примечания</t>
  </si>
  <si>
    <t>Климатическое исполнение</t>
  </si>
  <si>
    <t>У1</t>
  </si>
  <si>
    <t>УХЛ1</t>
  </si>
  <si>
    <t>Фидер уличного освещения</t>
  </si>
  <si>
    <t>Тип счетчика эл. эн.</t>
  </si>
  <si>
    <t>Марка счетчика эл. эн.</t>
  </si>
  <si>
    <t xml:space="preserve">Обозначение: </t>
  </si>
  <si>
    <t xml:space="preserve">Опросный лист для КТПК в металлическом корпусе </t>
  </si>
  <si>
    <t>Активный</t>
  </si>
  <si>
    <t>Реактивный</t>
  </si>
  <si>
    <t>Активно-реактивный</t>
  </si>
  <si>
    <t>ФР-М01-1-15 УХЛ 2</t>
  </si>
  <si>
    <t>Другое</t>
  </si>
  <si>
    <t>ВА 47-29 3Р,  16 А</t>
  </si>
  <si>
    <t>Фотореле уличного освещения, тип</t>
  </si>
  <si>
    <t>GSM-модем</t>
  </si>
  <si>
    <t>Коммуникатор</t>
  </si>
  <si>
    <t>Другой</t>
  </si>
  <si>
    <t>Трансформаторы тока, кл. точн/Iн</t>
  </si>
  <si>
    <t>/</t>
  </si>
  <si>
    <t>50/5</t>
  </si>
  <si>
    <t>75/5</t>
  </si>
  <si>
    <t>100/5</t>
  </si>
  <si>
    <t>150/5</t>
  </si>
  <si>
    <t>200/5</t>
  </si>
  <si>
    <t>80/5</t>
  </si>
  <si>
    <t>250/5</t>
  </si>
  <si>
    <t>300/5</t>
  </si>
  <si>
    <t>400/5</t>
  </si>
  <si>
    <t>500/5</t>
  </si>
  <si>
    <t>600/5</t>
  </si>
  <si>
    <t>750/5</t>
  </si>
  <si>
    <t>800/5</t>
  </si>
  <si>
    <t>1000/5</t>
  </si>
  <si>
    <t>1200/5</t>
  </si>
  <si>
    <t>1500/5</t>
  </si>
  <si>
    <t>ВА 57-39</t>
  </si>
  <si>
    <t>Габариты</t>
  </si>
  <si>
    <t>длина</t>
  </si>
  <si>
    <t>ширина</t>
  </si>
  <si>
    <t>высота</t>
  </si>
  <si>
    <t>Принудительная вентиляция тр. отсека</t>
  </si>
  <si>
    <t>принудительная вентиляция ТО</t>
  </si>
  <si>
    <t>ПКТ 101-6-5-20 У3</t>
  </si>
  <si>
    <t>ПКТ 101-6-8-20 У3</t>
  </si>
  <si>
    <t>ПКТ 101-6-10-20 У3</t>
  </si>
  <si>
    <t>ПКТ 101-6-16-20 У3</t>
  </si>
  <si>
    <t>ПКТ 101-6-31,5-20 У3</t>
  </si>
  <si>
    <t>ПКТ 103-6-80-31,5 У3</t>
  </si>
  <si>
    <t>ПКТ 103-6-100-31,5 У3</t>
  </si>
  <si>
    <t>ПКТ 104-6-160-31,5 У3</t>
  </si>
  <si>
    <t>ПКТ 101-10-8-12,5 У3</t>
  </si>
  <si>
    <t>ПКТ 101-10-10-12,5 У3</t>
  </si>
  <si>
    <t>ПКТ 101-10-16-12,5 У3</t>
  </si>
  <si>
    <t>ПКТ 102-10-40-31,5 У3</t>
  </si>
  <si>
    <t>ПКТ 103-10-80-20 У3</t>
  </si>
  <si>
    <t>ПКТ 103-10-100-12,5 У3</t>
  </si>
  <si>
    <t>Коммуникатор ЭНКМ-3-220-А2Т-401</t>
  </si>
  <si>
    <t>Коммуникатор GSM С-1.02</t>
  </si>
  <si>
    <t>Коммуникатор GSM RTR8A.LG1-1</t>
  </si>
  <si>
    <t>Блок питания TELEOFIS DPS 12-12</t>
  </si>
  <si>
    <t>Антенна    Triada BA-996 SOTA 1,5m SMA 3G</t>
  </si>
  <si>
    <t>Коммуникатор Меркурий 250 12GRL</t>
  </si>
  <si>
    <t>Антена GSM</t>
  </si>
  <si>
    <t>Коммуникационный модуль ЭНКМ-3-220-АТ</t>
  </si>
  <si>
    <t>Модуль ввода/вывода ЭНМВ-1-4/3R-220-А1</t>
  </si>
  <si>
    <t>Блок питания Mean Well DR-30-12</t>
  </si>
  <si>
    <t>ВА 47-29 3Р,  10 А</t>
  </si>
  <si>
    <t>ВА 47-29 3Р,  25 А</t>
  </si>
  <si>
    <t>РЕ 19-43</t>
  </si>
  <si>
    <t>ВА 55-43</t>
  </si>
  <si>
    <t>ВА 57-35</t>
  </si>
  <si>
    <t>GSM-модем TELEOFIS RX108-R4 (RS485)</t>
  </si>
  <si>
    <t>Малогабаритная КТП (без УВН)</t>
  </si>
  <si>
    <t>Макс количество выключателей ол</t>
  </si>
  <si>
    <t xml:space="preserve">Малогабаритная КТП до 250кВА (без УВН) </t>
  </si>
  <si>
    <t>ПКТ 101-10-4-12,5 У3</t>
  </si>
  <si>
    <t>ПКТ 101-10-5-12,5 У3</t>
  </si>
  <si>
    <t>40/5</t>
  </si>
  <si>
    <t>RBK-I</t>
  </si>
  <si>
    <t>RBK-II</t>
  </si>
  <si>
    <t>ВА 88-32</t>
  </si>
  <si>
    <t>ВА 88-35</t>
  </si>
  <si>
    <t>ВА 88-32 3Р,  16 А</t>
  </si>
  <si>
    <t>ВА 47-29 3Р,  40 А</t>
  </si>
  <si>
    <t>Встроен в счетчик</t>
  </si>
  <si>
    <t>рекомендуемое</t>
  </si>
  <si>
    <t>GSM C-1.02</t>
  </si>
  <si>
    <t>ВА 88-43</t>
  </si>
  <si>
    <t>ВА 88-37</t>
  </si>
  <si>
    <t>КТПК-П-ВВ-630/10/0,4 УХЛ1</t>
  </si>
  <si>
    <t>ВА 88-40</t>
  </si>
  <si>
    <t>токи</t>
  </si>
  <si>
    <t>ВА0436</t>
  </si>
  <si>
    <t>ВА4729</t>
  </si>
  <si>
    <t>ВА5135</t>
  </si>
  <si>
    <t>ВА5139</t>
  </si>
  <si>
    <t>ВА5341</t>
  </si>
  <si>
    <t>ВА5541</t>
  </si>
  <si>
    <t>ВА5343</t>
  </si>
  <si>
    <t>ВА5543</t>
  </si>
  <si>
    <t>ВА5731</t>
  </si>
  <si>
    <t>ВА57Ф31</t>
  </si>
  <si>
    <t>ВА5735</t>
  </si>
  <si>
    <t>ВА57Ф35</t>
  </si>
  <si>
    <t>ВА5739</t>
  </si>
  <si>
    <t>ВА8832</t>
  </si>
  <si>
    <t>ВА8833</t>
  </si>
  <si>
    <t>ВА8835</t>
  </si>
  <si>
    <t>ВА8837</t>
  </si>
  <si>
    <t>ВА8840</t>
  </si>
  <si>
    <t xml:space="preserve">  </t>
  </si>
  <si>
    <t>ОПНп-10/12,7/680 УХЛ1</t>
  </si>
  <si>
    <t>ОПНп-0,22/300/0,3 УХЛ1</t>
  </si>
  <si>
    <t>ОПНп-0,22/450/0,3 УХЛ1</t>
  </si>
  <si>
    <t>ОПНп-6/6,6/550 УХЛ1</t>
  </si>
  <si>
    <t>ОПНп-6/6,9/550 УХЛ1</t>
  </si>
  <si>
    <t>ОПНп-6/7,2/550 УХЛ1</t>
  </si>
  <si>
    <t>ОПНп-6/7,6/550 УХЛ1</t>
  </si>
  <si>
    <t>ОПНп-6/6,6/680 УХЛ1</t>
  </si>
  <si>
    <t>ОПНп-6/6,9/680 УХЛ1</t>
  </si>
  <si>
    <t>ОПНп-6/7,2/680 УХЛ1</t>
  </si>
  <si>
    <t>ОПНп-6/7,6/680 УХЛ1</t>
  </si>
  <si>
    <t>ОПНп-10/11/550 УХЛ1</t>
  </si>
  <si>
    <t>ОПНп-10/11,5/550 УХЛ1</t>
  </si>
  <si>
    <t>ОПНп-10/12/550 УХЛ1</t>
  </si>
  <si>
    <t>ОПНп-10/12,7/550 УХЛ1</t>
  </si>
  <si>
    <t>ОПНп-10/11/680 УХЛ1</t>
  </si>
  <si>
    <t>ОПНп-10/11,5/680 УХЛ1</t>
  </si>
  <si>
    <t>ОПНп-10/12/680 УХЛ1</t>
  </si>
  <si>
    <t>Счетчик на отходящей линии</t>
  </si>
  <si>
    <t>СЭТ-4ТМ.03М</t>
  </si>
  <si>
    <t>ОПНп-10/12/400 УХЛ1</t>
  </si>
  <si>
    <t>Класс точности ТТ  на отходящих линиях - 1</t>
  </si>
  <si>
    <t>ЭНКМ-3-А2В1Е1GT-430</t>
  </si>
  <si>
    <t>ЭНКМ-3-А2В1Е1GT-422</t>
  </si>
  <si>
    <t>ВА8843</t>
  </si>
  <si>
    <t>Мал&gt;100</t>
  </si>
  <si>
    <t>Мал&lt;=100</t>
  </si>
  <si>
    <t>Прох</t>
  </si>
  <si>
    <t>Тупик</t>
  </si>
  <si>
    <t>Мал</t>
  </si>
  <si>
    <t>1Тр,Туп,Каб</t>
  </si>
  <si>
    <t>1Тр,Туп,Возд</t>
  </si>
  <si>
    <t>1Тр,Прох,Возд</t>
  </si>
  <si>
    <t>1Тр,Прох,Каб</t>
  </si>
  <si>
    <t>2Тр,Каб</t>
  </si>
  <si>
    <t>2Тр,Возд</t>
  </si>
  <si>
    <t>Мал, Каб</t>
  </si>
  <si>
    <t>Мал, Возд</t>
  </si>
  <si>
    <t>Основание</t>
  </si>
  <si>
    <t>ОПНп-0,38/300/0,4 УХЛ1</t>
  </si>
  <si>
    <t>ОПНп-0,38/450/0,4 УХЛ1</t>
  </si>
  <si>
    <t>OptiMatD</t>
  </si>
  <si>
    <t>РЛНД</t>
  </si>
  <si>
    <r>
      <t>ТЛС(</t>
    </r>
    <r>
      <rPr>
        <b/>
        <sz val="8"/>
        <rFont val="Arial"/>
        <family val="2"/>
        <charset val="204"/>
      </rPr>
      <t>медь</t>
    </r>
    <r>
      <rPr>
        <b/>
        <sz val="11"/>
        <rFont val="Arial"/>
        <family val="2"/>
        <charset val="204"/>
      </rPr>
      <t>)</t>
    </r>
  </si>
  <si>
    <r>
      <t>ТЛС(</t>
    </r>
    <r>
      <rPr>
        <b/>
        <sz val="8"/>
        <color theme="1"/>
        <rFont val="Arial"/>
        <family val="2"/>
        <charset val="204"/>
      </rPr>
      <t>алюм</t>
    </r>
    <r>
      <rPr>
        <b/>
        <sz val="11"/>
        <color theme="1"/>
        <rFont val="Arial"/>
        <family val="2"/>
        <charset val="204"/>
      </rPr>
      <t>)</t>
    </r>
  </si>
  <si>
    <r>
      <t>ТМГ(</t>
    </r>
    <r>
      <rPr>
        <b/>
        <sz val="8"/>
        <color theme="1"/>
        <rFont val="Arial"/>
        <family val="2"/>
        <charset val="204"/>
      </rPr>
      <t>пониж</t>
    </r>
    <r>
      <rPr>
        <b/>
        <sz val="11"/>
        <color theme="1"/>
        <rFont val="Arial"/>
        <family val="2"/>
        <charset val="204"/>
      </rPr>
      <t>)</t>
    </r>
  </si>
  <si>
    <t>тип</t>
  </si>
  <si>
    <t>Исполнения счетчика</t>
  </si>
  <si>
    <t>счетчик</t>
  </si>
  <si>
    <t xml:space="preserve">СЭТ-4ТМ.03М.01 </t>
  </si>
  <si>
    <t>СЭТ-4ТМ.02М.03</t>
  </si>
  <si>
    <t>СЭТ-4ТМ.03М.05</t>
  </si>
  <si>
    <t>СЭТ-4ТМ.02М.07</t>
  </si>
  <si>
    <t>ПСЧ-4ТМ.05МК.00</t>
  </si>
  <si>
    <t>ПСЧ-4ТМ.05МК.00.01*</t>
  </si>
  <si>
    <t>ПСЧ-4ТМ.05МК.01</t>
  </si>
  <si>
    <t>ПСЧ-4ТМ.05МК.12</t>
  </si>
  <si>
    <t>ПСЧ-4ТМ.05МК.12.01*</t>
  </si>
  <si>
    <t>ПСЧ-4ТМ.05МК.13</t>
  </si>
  <si>
    <t>СE 303 S31 503 JAVZ</t>
  </si>
  <si>
    <t>СE 303 S31 503 JGVZ(12)</t>
  </si>
  <si>
    <t>Освещение отсеков подстанции</t>
  </si>
  <si>
    <t>Наличие освещения (напряжение)</t>
  </si>
  <si>
    <t>2Тр&gt;630</t>
  </si>
  <si>
    <t>2Тр&lt;=630</t>
  </si>
  <si>
    <t>Туп &lt;=630</t>
  </si>
  <si>
    <t>Туп &gt;630</t>
  </si>
  <si>
    <t>OptiMatE</t>
  </si>
  <si>
    <t>OptidinBM63</t>
  </si>
  <si>
    <t>OptidinBM125</t>
  </si>
  <si>
    <t>М 234 ARTM2-02 (D)POBR.R</t>
  </si>
  <si>
    <t>М 234 ARTM2-03 (D)PBR.R 0,2/0,5s</t>
  </si>
  <si>
    <t>М 234 ARTM2-03 (D)PBR.G 0.2S/0.5</t>
  </si>
  <si>
    <t>Меркурий 228</t>
  </si>
  <si>
    <t>ВНА</t>
  </si>
  <si>
    <t xml:space="preserve">РИМ 489.24ВК.O </t>
  </si>
  <si>
    <t xml:space="preserve">РИМ 489.24ВК.2G </t>
  </si>
  <si>
    <t xml:space="preserve">РИМ 489.30ВК.4G </t>
  </si>
  <si>
    <t xml:space="preserve">РИМ 489.30ВК.2G </t>
  </si>
  <si>
    <t xml:space="preserve">РИМ 489.30ВК. 4G </t>
  </si>
  <si>
    <t xml:space="preserve">РИМ 489.32ВК.O </t>
  </si>
  <si>
    <t xml:space="preserve">РИМ 489.32ВК.2G </t>
  </si>
  <si>
    <t xml:space="preserve">коммуникатор РиМ 099.03 </t>
  </si>
  <si>
    <t xml:space="preserve">коммуникатор РИМ 071.21 </t>
  </si>
  <si>
    <t xml:space="preserve">конвертор РиМ 019.01 </t>
  </si>
  <si>
    <t xml:space="preserve">монтажное устройство РиМ 000.22 </t>
  </si>
  <si>
    <t>РИМ 489.30ВК.О</t>
  </si>
  <si>
    <t>Счетчик МИР С-07.05S-230-5(10)-PZ-Q-D</t>
  </si>
  <si>
    <t>Коммуникатор МИР МК‐01.А‐2E/G1/2R/P/Z‐ИП230/ИП24‐3ТС24/SD</t>
  </si>
  <si>
    <t>1 секция - НН (отходящие линии)</t>
  </si>
  <si>
    <t>2 секция - НН (отходящие линии)</t>
  </si>
  <si>
    <t>Секционирование (НН)</t>
  </si>
  <si>
    <t>МИР МВ-01-R-8(16)ТС230-ИП230</t>
  </si>
  <si>
    <t>аттестован</t>
  </si>
  <si>
    <t>Счетчик CE 308</t>
  </si>
  <si>
    <t>CE308 S31.543.OAA.SYUVJLFZ SPDS</t>
  </si>
  <si>
    <t>Счетчик CE 308 S31.543.OAG.DYUVJLFZ GS01 SPDS 05s/05</t>
  </si>
  <si>
    <t>CE303 S31 746 JAVZ</t>
  </si>
  <si>
    <t>CE303 S31 543 JAVZ</t>
  </si>
  <si>
    <t>Счетчик CE 308 C36.746.OPR1.QYDUVFZ BPL03 SPDS</t>
  </si>
  <si>
    <t>Контроллер присоединения МИР КПР-01МА-5(50)-230ИП-R2E-8ТС24-2ТУ-РП230-К</t>
  </si>
  <si>
    <t>ПСЧ-4ТМ.05МК.04</t>
  </si>
  <si>
    <t>Коммуникатор ЭНКМ-3-220-А2В1Е1GT-800</t>
  </si>
  <si>
    <t>МИРТЕК-32-РУ-W35-A0.5R1-230-5-10A-T-RS485-G/1-HLMOQ2V3</t>
  </si>
  <si>
    <t>с ндс</t>
  </si>
  <si>
    <t>Коммуникатор СЕ805M EXT1</t>
  </si>
  <si>
    <t>Меркурий 250 12GRL</t>
  </si>
  <si>
    <t>OptiBlock0</t>
  </si>
  <si>
    <t>OptiBlock1</t>
  </si>
  <si>
    <t>OptiBlock2</t>
  </si>
  <si>
    <t>OptiBlock3</t>
  </si>
  <si>
    <t>занято</t>
  </si>
  <si>
    <t>Коммуникатор, ОПС</t>
  </si>
  <si>
    <t>Милур 307 (GSM)</t>
  </si>
  <si>
    <t>Контакт  GSM-5-2</t>
  </si>
  <si>
    <t>разъед.1</t>
  </si>
  <si>
    <t>разъед.2</t>
  </si>
  <si>
    <t>автомат</t>
  </si>
  <si>
    <t>ВНВР</t>
  </si>
  <si>
    <t>Мал 100</t>
  </si>
  <si>
    <t>Мал 250</t>
  </si>
  <si>
    <t>В соответствии с Табл.6  Технического описания (Руководства по проектированию)</t>
  </si>
  <si>
    <t>Прох&lt;6УВН</t>
  </si>
  <si>
    <t>Прох 8УВН</t>
  </si>
  <si>
    <t>Прох 10УВН</t>
  </si>
  <si>
    <t>Прох 12УВН</t>
  </si>
  <si>
    <t>Прох 14УВН</t>
  </si>
  <si>
    <t>РЕ 19-44</t>
  </si>
  <si>
    <t>ОАО "Свердловский завод трансформаторов тока", 620043, г.Екатеринбург ул. Черкасская,25 тел. +7 (343) 232-58-31                                                                 e-mail:dpo@cztt.ru   сайт: www.cztt.ru</t>
  </si>
  <si>
    <t>ООО "Петров"</t>
  </si>
  <si>
    <t>Петров Петр Петрович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</si>
</sst>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theme="3" tint="0.39997558519241921"/>
      <name val="Arial"/>
      <family val="2"/>
      <charset val="204"/>
    </font>
    <font>
      <b/>
      <sz val="12"/>
      <color rgb="FFC00000"/>
      <name val="Arial"/>
      <family val="2"/>
      <charset val="204"/>
    </font>
    <font>
      <b/>
      <sz val="11"/>
      <color rgb="FFC00000"/>
      <name val="Arial"/>
      <family val="2"/>
      <charset val="204"/>
    </font>
    <font>
      <b/>
      <sz val="10"/>
      <color rgb="FFC00000"/>
      <name val="Arial Cyr"/>
      <charset val="204"/>
    </font>
    <font>
      <b/>
      <sz val="8"/>
      <color rgb="FFC00000"/>
      <name val="Arial Cyr"/>
      <charset val="204"/>
    </font>
    <font>
      <b/>
      <sz val="16"/>
      <color rgb="FFC00000"/>
      <name val="Arial Cyr"/>
      <charset val="204"/>
    </font>
    <font>
      <b/>
      <sz val="16"/>
      <color theme="1"/>
      <name val="Arial"/>
      <family val="2"/>
      <charset val="204"/>
    </font>
    <font>
      <b/>
      <sz val="10"/>
      <color theme="3" tint="-0.249977111117893"/>
      <name val="Arial"/>
      <family val="2"/>
      <charset val="204"/>
    </font>
    <font>
      <b/>
      <sz val="11"/>
      <color theme="3" tint="-0.249977111117893"/>
      <name val="Arial"/>
      <family val="2"/>
      <charset val="204"/>
    </font>
    <font>
      <sz val="10"/>
      <name val="Arial Cyr"/>
      <charset val="204"/>
    </font>
    <font>
      <b/>
      <sz val="10.5"/>
      <color theme="1"/>
      <name val="Arial"/>
      <family val="2"/>
      <charset val="204"/>
    </font>
    <font>
      <b/>
      <sz val="8"/>
      <color rgb="FFC00000"/>
      <name val="Arial"/>
      <family val="2"/>
      <charset val="204"/>
    </font>
    <font>
      <b/>
      <sz val="11"/>
      <color rgb="FF00B050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b/>
      <sz val="8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rgb="FFC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0"/>
      <name val="Arial"/>
      <family val="2"/>
      <charset val="204"/>
    </font>
    <font>
      <sz val="9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C00000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i/>
      <sz val="20"/>
      <color theme="1"/>
      <name val="Arial"/>
      <family val="2"/>
      <charset val="204"/>
    </font>
    <font>
      <i/>
      <sz val="2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i/>
      <sz val="7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/>
    <xf numFmtId="0" fontId="2" fillId="2" borderId="1" applyNumberFormat="0" applyAlignment="0" applyProtection="0"/>
    <xf numFmtId="0" fontId="17" fillId="0" borderId="0"/>
    <xf numFmtId="0" fontId="29" fillId="0" borderId="0" applyNumberFormat="0" applyFill="0" applyBorder="0" applyAlignment="0" applyProtection="0"/>
    <xf numFmtId="0" fontId="17" fillId="0" borderId="0"/>
    <xf numFmtId="0" fontId="36" fillId="0" borderId="0"/>
    <xf numFmtId="0" fontId="1" fillId="0" borderId="0"/>
  </cellStyleXfs>
  <cellXfs count="231">
    <xf numFmtId="0" fontId="0" fillId="0" borderId="0" xfId="0"/>
    <xf numFmtId="0" fontId="3" fillId="0" borderId="0" xfId="0" applyFont="1"/>
    <xf numFmtId="0" fontId="5" fillId="3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  <xf numFmtId="0" fontId="14" fillId="0" borderId="5" xfId="0" applyFont="1" applyBorder="1"/>
    <xf numFmtId="0" fontId="5" fillId="0" borderId="3" xfId="0" applyFont="1" applyBorder="1"/>
    <xf numFmtId="0" fontId="5" fillId="0" borderId="12" xfId="0" applyFont="1" applyBorder="1"/>
    <xf numFmtId="0" fontId="5" fillId="0" borderId="13" xfId="0" applyFont="1" applyBorder="1"/>
    <xf numFmtId="0" fontId="16" fillId="6" borderId="0" xfId="0" applyFont="1" applyFill="1" applyBorder="1" applyAlignment="1"/>
    <xf numFmtId="0" fontId="3" fillId="0" borderId="0" xfId="0" applyFont="1" applyBorder="1"/>
    <xf numFmtId="0" fontId="5" fillId="6" borderId="0" xfId="0" applyFont="1" applyFill="1" applyBorder="1" applyAlignment="1"/>
    <xf numFmtId="0" fontId="5" fillId="0" borderId="11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0" xfId="0" applyFont="1" applyBorder="1"/>
    <xf numFmtId="0" fontId="5" fillId="0" borderId="17" xfId="0" applyFont="1" applyBorder="1"/>
    <xf numFmtId="0" fontId="5" fillId="0" borderId="16" xfId="0" applyFont="1" applyBorder="1"/>
    <xf numFmtId="0" fontId="22" fillId="0" borderId="2" xfId="0" applyFont="1" applyFill="1" applyBorder="1" applyAlignment="1">
      <alignment horizontal="justify" vertical="center" wrapText="1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Protection="1">
      <protection locked="0"/>
    </xf>
    <xf numFmtId="0" fontId="11" fillId="5" borderId="2" xfId="0" applyFont="1" applyFill="1" applyBorder="1" applyAlignment="1" applyProtection="1">
      <alignment horizontal="center"/>
      <protection locked="0"/>
    </xf>
    <xf numFmtId="0" fontId="12" fillId="5" borderId="2" xfId="0" applyFont="1" applyFill="1" applyBorder="1" applyAlignment="1" applyProtection="1">
      <alignment horizontal="center"/>
      <protection locked="0"/>
    </xf>
    <xf numFmtId="0" fontId="19" fillId="5" borderId="2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5" fillId="0" borderId="21" xfId="0" applyFont="1" applyBorder="1"/>
    <xf numFmtId="0" fontId="5" fillId="0" borderId="0" xfId="0" applyFont="1" applyBorder="1" applyAlignment="1">
      <alignment horizontal="center"/>
    </xf>
    <xf numFmtId="0" fontId="8" fillId="0" borderId="20" xfId="0" applyFont="1" applyBorder="1"/>
    <xf numFmtId="0" fontId="6" fillId="0" borderId="22" xfId="0" applyFont="1" applyBorder="1"/>
    <xf numFmtId="0" fontId="20" fillId="0" borderId="0" xfId="0" applyFont="1" applyBorder="1" applyAlignment="1">
      <alignment horizontal="left"/>
    </xf>
    <xf numFmtId="0" fontId="6" fillId="0" borderId="23" xfId="0" applyFont="1" applyBorder="1" applyAlignment="1">
      <alignment vertical="center"/>
    </xf>
    <xf numFmtId="0" fontId="5" fillId="0" borderId="0" xfId="0" applyFont="1" applyBorder="1" applyProtection="1">
      <protection locked="0"/>
    </xf>
    <xf numFmtId="0" fontId="21" fillId="0" borderId="20" xfId="0" applyFont="1" applyBorder="1"/>
    <xf numFmtId="0" fontId="6" fillId="0" borderId="24" xfId="0" applyFont="1" applyBorder="1" applyAlignment="1">
      <alignment vertical="center"/>
    </xf>
    <xf numFmtId="0" fontId="6" fillId="0" borderId="24" xfId="0" applyFont="1" applyBorder="1"/>
    <xf numFmtId="0" fontId="6" fillId="0" borderId="25" xfId="0" applyFont="1" applyBorder="1"/>
    <xf numFmtId="0" fontId="5" fillId="0" borderId="22" xfId="0" applyFont="1" applyBorder="1"/>
    <xf numFmtId="0" fontId="6" fillId="0" borderId="20" xfId="0" applyFont="1" applyBorder="1"/>
    <xf numFmtId="0" fontId="6" fillId="0" borderId="23" xfId="0" applyFont="1" applyBorder="1"/>
    <xf numFmtId="0" fontId="5" fillId="0" borderId="0" xfId="0" applyFont="1" applyBorder="1" applyAlignment="1" applyProtection="1">
      <alignment horizontal="left"/>
      <protection locked="0"/>
    </xf>
    <xf numFmtId="0" fontId="5" fillId="0" borderId="20" xfId="0" applyFont="1" applyBorder="1"/>
    <xf numFmtId="0" fontId="5" fillId="0" borderId="23" xfId="0" applyFont="1" applyBorder="1" applyAlignment="1">
      <alignment vertical="center"/>
    </xf>
    <xf numFmtId="0" fontId="5" fillId="0" borderId="25" xfId="0" applyFont="1" applyBorder="1"/>
    <xf numFmtId="0" fontId="5" fillId="0" borderId="0" xfId="0" applyFont="1" applyBorder="1" applyAlignment="1">
      <alignment horizontal="left"/>
    </xf>
    <xf numFmtId="0" fontId="5" fillId="0" borderId="26" xfId="0" applyFont="1" applyBorder="1"/>
    <xf numFmtId="0" fontId="5" fillId="0" borderId="27" xfId="0" applyFont="1" applyBorder="1"/>
    <xf numFmtId="0" fontId="18" fillId="0" borderId="27" xfId="0" applyFont="1" applyBorder="1"/>
    <xf numFmtId="0" fontId="5" fillId="6" borderId="31" xfId="0" applyFont="1" applyFill="1" applyBorder="1" applyAlignment="1"/>
    <xf numFmtId="0" fontId="16" fillId="6" borderId="21" xfId="0" applyFont="1" applyFill="1" applyBorder="1" applyAlignment="1"/>
    <xf numFmtId="0" fontId="4" fillId="0" borderId="25" xfId="0" applyFont="1" applyBorder="1" applyAlignment="1">
      <alignment horizontal="left"/>
    </xf>
    <xf numFmtId="0" fontId="4" fillId="0" borderId="33" xfId="0" applyFont="1" applyBorder="1" applyAlignment="1"/>
    <xf numFmtId="0" fontId="5" fillId="3" borderId="0" xfId="0" applyFont="1" applyFill="1" applyBorder="1"/>
    <xf numFmtId="0" fontId="21" fillId="0" borderId="0" xfId="0" applyFont="1"/>
    <xf numFmtId="0" fontId="22" fillId="0" borderId="0" xfId="0" applyFont="1" applyFill="1" applyBorder="1" applyAlignment="1">
      <alignment horizontal="justify" vertical="center" wrapText="1"/>
    </xf>
    <xf numFmtId="0" fontId="6" fillId="0" borderId="0" xfId="0" applyFont="1" applyBorder="1" applyAlignment="1" applyProtection="1">
      <alignment horizontal="left"/>
      <protection locked="0"/>
    </xf>
    <xf numFmtId="0" fontId="23" fillId="0" borderId="0" xfId="0" applyFont="1" applyBorder="1" applyAlignment="1">
      <alignment horizontal="center" vertical="top"/>
    </xf>
    <xf numFmtId="0" fontId="5" fillId="3" borderId="0" xfId="0" applyFont="1" applyFill="1" applyAlignment="1">
      <alignment wrapText="1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wrapText="1"/>
    </xf>
    <xf numFmtId="0" fontId="3" fillId="3" borderId="2" xfId="0" applyFont="1" applyFill="1" applyBorder="1" applyAlignment="1">
      <alignment horizontal="center"/>
    </xf>
    <xf numFmtId="0" fontId="24" fillId="3" borderId="2" xfId="0" applyFont="1" applyFill="1" applyBorder="1"/>
    <xf numFmtId="0" fontId="0" fillId="0" borderId="2" xfId="0" applyBorder="1"/>
    <xf numFmtId="0" fontId="0" fillId="8" borderId="2" xfId="0" applyFill="1" applyBorder="1"/>
    <xf numFmtId="0" fontId="0" fillId="0" borderId="0" xfId="0" applyAlignment="1">
      <alignment horizontal="center"/>
    </xf>
    <xf numFmtId="0" fontId="12" fillId="5" borderId="34" xfId="0" applyFont="1" applyFill="1" applyBorder="1" applyAlignment="1" applyProtection="1">
      <alignment horizontal="center" vertical="center" textRotation="90"/>
      <protection locked="0"/>
    </xf>
    <xf numFmtId="0" fontId="6" fillId="0" borderId="3" xfId="0" applyFont="1" applyBorder="1" applyAlignment="1">
      <alignment horizontal="center"/>
    </xf>
    <xf numFmtId="0" fontId="0" fillId="0" borderId="0" xfId="0" applyAlignment="1">
      <alignment vertical="center"/>
    </xf>
    <xf numFmtId="0" fontId="19" fillId="5" borderId="2" xfId="0" applyFont="1" applyFill="1" applyBorder="1" applyAlignment="1" applyProtection="1">
      <alignment horizontal="center" textRotation="90"/>
      <protection locked="0"/>
    </xf>
    <xf numFmtId="0" fontId="27" fillId="0" borderId="0" xfId="0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0" fontId="29" fillId="0" borderId="0" xfId="3" applyBorder="1" applyAlignment="1">
      <alignment horizontal="left"/>
    </xf>
    <xf numFmtId="0" fontId="23" fillId="0" borderId="9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23" fillId="0" borderId="4" xfId="0" applyFont="1" applyBorder="1" applyAlignment="1">
      <alignment horizontal="right" vertical="top"/>
    </xf>
    <xf numFmtId="0" fontId="23" fillId="0" borderId="4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5" fillId="0" borderId="14" xfId="0" applyFont="1" applyBorder="1" applyAlignment="1">
      <alignment horizontal="right"/>
    </xf>
    <xf numFmtId="0" fontId="30" fillId="0" borderId="0" xfId="0" applyFont="1"/>
    <xf numFmtId="0" fontId="5" fillId="0" borderId="0" xfId="0" applyFont="1" applyBorder="1" applyAlignment="1">
      <alignment horizontal="right"/>
    </xf>
    <xf numFmtId="0" fontId="30" fillId="0" borderId="0" xfId="0" applyFont="1" applyBorder="1"/>
    <xf numFmtId="0" fontId="27" fillId="0" borderId="0" xfId="0" applyFont="1" applyBorder="1" applyAlignment="1" applyProtection="1">
      <alignment horizontal="center"/>
    </xf>
    <xf numFmtId="0" fontId="6" fillId="0" borderId="0" xfId="0" applyFont="1" applyAlignment="1">
      <alignment horizontal="right"/>
    </xf>
    <xf numFmtId="0" fontId="3" fillId="0" borderId="2" xfId="0" applyFont="1" applyBorder="1"/>
    <xf numFmtId="0" fontId="33" fillId="0" borderId="0" xfId="0" applyFont="1"/>
    <xf numFmtId="0" fontId="3" fillId="3" borderId="2" xfId="0" applyFont="1" applyFill="1" applyBorder="1"/>
    <xf numFmtId="0" fontId="0" fillId="3" borderId="2" xfId="0" applyFill="1" applyBorder="1"/>
    <xf numFmtId="3" fontId="5" fillId="0" borderId="0" xfId="0" applyNumberFormat="1" applyFont="1"/>
    <xf numFmtId="0" fontId="5" fillId="6" borderId="0" xfId="0" applyFont="1" applyFill="1" applyAlignment="1">
      <alignment vertical="top" wrapText="1"/>
    </xf>
    <xf numFmtId="0" fontId="3" fillId="6" borderId="2" xfId="0" applyFont="1" applyFill="1" applyBorder="1" applyAlignment="1">
      <alignment wrapText="1"/>
    </xf>
    <xf numFmtId="0" fontId="0" fillId="6" borderId="2" xfId="0" applyFill="1" applyBorder="1" applyAlignment="1">
      <alignment wrapText="1"/>
    </xf>
    <xf numFmtId="0" fontId="6" fillId="0" borderId="0" xfId="0" applyFont="1" applyBorder="1" applyAlignment="1">
      <alignment horizontal="left"/>
    </xf>
    <xf numFmtId="0" fontId="6" fillId="0" borderId="2" xfId="0" applyFont="1" applyBorder="1"/>
    <xf numFmtId="0" fontId="3" fillId="0" borderId="2" xfId="0" applyFont="1" applyFill="1" applyBorder="1" applyAlignment="1">
      <alignment horizontal="center"/>
    </xf>
    <xf numFmtId="0" fontId="24" fillId="3" borderId="10" xfId="0" applyFont="1" applyFill="1" applyBorder="1"/>
    <xf numFmtId="0" fontId="0" fillId="9" borderId="2" xfId="0" applyFill="1" applyBorder="1" applyAlignment="1">
      <alignment wrapText="1"/>
    </xf>
    <xf numFmtId="0" fontId="0" fillId="9" borderId="2" xfId="0" applyFill="1" applyBorder="1" applyAlignment="1">
      <alignment horizontal="left"/>
    </xf>
    <xf numFmtId="2" fontId="1" fillId="6" borderId="0" xfId="6" applyNumberFormat="1" applyFill="1"/>
    <xf numFmtId="0" fontId="1" fillId="6" borderId="0" xfId="6" applyFill="1"/>
    <xf numFmtId="0" fontId="1" fillId="3" borderId="2" xfId="6" applyFill="1" applyBorder="1"/>
    <xf numFmtId="0" fontId="6" fillId="6" borderId="0" xfId="0" applyFont="1" applyFill="1" applyBorder="1" applyAlignment="1">
      <alignment horizontal="center"/>
    </xf>
    <xf numFmtId="0" fontId="6" fillId="6" borderId="0" xfId="0" applyFont="1" applyFill="1" applyBorder="1"/>
    <xf numFmtId="0" fontId="5" fillId="6" borderId="0" xfId="0" applyFont="1" applyFill="1" applyBorder="1"/>
    <xf numFmtId="0" fontId="20" fillId="6" borderId="0" xfId="0" applyFont="1" applyFill="1" applyBorder="1" applyAlignment="1">
      <alignment horizontal="left"/>
    </xf>
    <xf numFmtId="0" fontId="6" fillId="6" borderId="0" xfId="0" applyFont="1" applyFill="1" applyBorder="1" applyProtection="1">
      <protection locked="0"/>
    </xf>
    <xf numFmtId="0" fontId="6" fillId="6" borderId="0" xfId="0" applyFont="1" applyFill="1" applyBorder="1" applyAlignment="1" applyProtection="1">
      <alignment vertical="center"/>
      <protection locked="0"/>
    </xf>
    <xf numFmtId="0" fontId="5" fillId="6" borderId="0" xfId="0" applyFont="1" applyFill="1" applyBorder="1" applyAlignment="1">
      <alignment horizontal="center"/>
    </xf>
    <xf numFmtId="0" fontId="5" fillId="6" borderId="0" xfId="0" applyFont="1" applyFill="1" applyBorder="1" applyProtection="1">
      <protection locked="0"/>
    </xf>
    <xf numFmtId="0" fontId="6" fillId="6" borderId="0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left"/>
    </xf>
    <xf numFmtId="0" fontId="27" fillId="6" borderId="0" xfId="0" applyFont="1" applyFill="1" applyBorder="1" applyAlignment="1" applyProtection="1">
      <alignment horizontal="center"/>
    </xf>
    <xf numFmtId="0" fontId="6" fillId="6" borderId="0" xfId="0" applyFont="1" applyFill="1" applyBorder="1" applyAlignment="1" applyProtection="1">
      <alignment horizontal="left"/>
      <protection locked="0"/>
    </xf>
    <xf numFmtId="0" fontId="23" fillId="6" borderId="0" xfId="0" applyFont="1" applyFill="1" applyBorder="1" applyAlignment="1">
      <alignment horizontal="center" vertical="top"/>
    </xf>
    <xf numFmtId="0" fontId="5" fillId="6" borderId="0" xfId="0" applyFont="1" applyFill="1" applyBorder="1" applyAlignment="1" applyProtection="1">
      <alignment horizontal="left"/>
      <protection locked="0"/>
    </xf>
    <xf numFmtId="0" fontId="10" fillId="6" borderId="0" xfId="0" applyFont="1" applyFill="1" applyBorder="1" applyAlignment="1" applyProtection="1">
      <alignment horizontal="center"/>
      <protection locked="0"/>
    </xf>
    <xf numFmtId="0" fontId="0" fillId="6" borderId="0" xfId="0" applyFill="1" applyBorder="1" applyProtection="1">
      <protection locked="0"/>
    </xf>
    <xf numFmtId="0" fontId="3" fillId="6" borderId="0" xfId="0" applyFont="1" applyFill="1" applyBorder="1"/>
    <xf numFmtId="0" fontId="23" fillId="6" borderId="0" xfId="0" applyFont="1" applyFill="1" applyBorder="1" applyAlignment="1">
      <alignment horizontal="left"/>
    </xf>
    <xf numFmtId="0" fontId="9" fillId="6" borderId="0" xfId="0" applyFont="1" applyFill="1" applyBorder="1" applyAlignment="1" applyProtection="1">
      <protection locked="0"/>
    </xf>
    <xf numFmtId="0" fontId="0" fillId="6" borderId="0" xfId="0" applyFill="1" applyBorder="1" applyAlignment="1" applyProtection="1">
      <protection locked="0"/>
    </xf>
    <xf numFmtId="0" fontId="9" fillId="6" borderId="0" xfId="0" applyFont="1" applyFill="1" applyBorder="1" applyAlignment="1" applyProtection="1">
      <alignment vertical="center"/>
      <protection locked="0"/>
    </xf>
    <xf numFmtId="0" fontId="10" fillId="6" borderId="0" xfId="0" applyFont="1" applyFill="1" applyBorder="1" applyAlignment="1" applyProtection="1">
      <protection locked="0"/>
    </xf>
    <xf numFmtId="0" fontId="10" fillId="6" borderId="0" xfId="0" applyFont="1" applyFill="1" applyBorder="1" applyAlignment="1" applyProtection="1"/>
    <xf numFmtId="0" fontId="0" fillId="6" borderId="0" xfId="0" applyFill="1" applyBorder="1" applyAlignment="1" applyProtection="1"/>
    <xf numFmtId="0" fontId="26" fillId="6" borderId="0" xfId="0" applyFont="1" applyFill="1" applyBorder="1" applyAlignment="1" applyProtection="1">
      <protection locked="0"/>
    </xf>
    <xf numFmtId="0" fontId="6" fillId="6" borderId="0" xfId="0" applyFont="1" applyFill="1" applyBorder="1" applyAlignment="1"/>
    <xf numFmtId="0" fontId="8" fillId="0" borderId="0" xfId="0" applyFont="1" applyBorder="1"/>
    <xf numFmtId="0" fontId="0" fillId="9" borderId="2" xfId="0" applyFill="1" applyBorder="1"/>
    <xf numFmtId="0" fontId="0" fillId="9" borderId="0" xfId="0" applyFill="1" applyAlignment="1">
      <alignment horizontal="left"/>
    </xf>
    <xf numFmtId="0" fontId="0" fillId="9" borderId="0" xfId="0" applyFill="1"/>
    <xf numFmtId="1" fontId="0" fillId="9" borderId="2" xfId="0" applyNumberFormat="1" applyFill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5" xfId="0" applyFill="1" applyBorder="1"/>
    <xf numFmtId="0" fontId="0" fillId="0" borderId="17" xfId="0" applyFill="1" applyBorder="1" applyAlignment="1">
      <alignment horizontal="left"/>
    </xf>
    <xf numFmtId="0" fontId="39" fillId="3" borderId="2" xfId="0" applyFont="1" applyFill="1" applyBorder="1"/>
    <xf numFmtId="0" fontId="38" fillId="10" borderId="0" xfId="0" applyFont="1" applyFill="1" applyAlignment="1">
      <alignment horizontal="center"/>
    </xf>
    <xf numFmtId="0" fontId="0" fillId="9" borderId="2" xfId="0" applyFill="1" applyBorder="1" applyAlignment="1"/>
    <xf numFmtId="0" fontId="1" fillId="6" borderId="2" xfId="6" applyFill="1" applyBorder="1"/>
    <xf numFmtId="0" fontId="32" fillId="0" borderId="0" xfId="0" applyFont="1" applyBorder="1" applyAlignment="1" applyProtection="1">
      <alignment horizontal="right" vertical="center"/>
    </xf>
    <xf numFmtId="0" fontId="37" fillId="0" borderId="0" xfId="0" applyFont="1" applyBorder="1"/>
    <xf numFmtId="0" fontId="7" fillId="0" borderId="0" xfId="0" applyFont="1"/>
    <xf numFmtId="0" fontId="0" fillId="0" borderId="9" xfId="0" applyBorder="1" applyAlignment="1">
      <alignment horizontal="center"/>
    </xf>
    <xf numFmtId="0" fontId="32" fillId="3" borderId="9" xfId="0" applyFont="1" applyFill="1" applyBorder="1" applyAlignment="1">
      <alignment horizontal="center"/>
    </xf>
    <xf numFmtId="0" fontId="10" fillId="11" borderId="2" xfId="0" applyFont="1" applyFill="1" applyBorder="1" applyAlignment="1" applyProtection="1">
      <alignment horizontal="center"/>
      <protection locked="0"/>
    </xf>
    <xf numFmtId="0" fontId="10" fillId="11" borderId="13" xfId="0" applyFont="1" applyFill="1" applyBorder="1" applyAlignment="1" applyProtection="1">
      <alignment horizontal="center"/>
      <protection locked="0"/>
    </xf>
    <xf numFmtId="0" fontId="0" fillId="11" borderId="3" xfId="0" applyFill="1" applyBorder="1" applyProtection="1">
      <protection locked="0"/>
    </xf>
    <xf numFmtId="0" fontId="0" fillId="11" borderId="16" xfId="0" applyFill="1" applyBorder="1" applyProtection="1">
      <protection locked="0"/>
    </xf>
    <xf numFmtId="0" fontId="10" fillId="11" borderId="12" xfId="0" applyFont="1" applyFill="1" applyBorder="1" applyAlignment="1" applyProtection="1">
      <alignment horizontal="center"/>
      <protection locked="0"/>
    </xf>
    <xf numFmtId="0" fontId="0" fillId="11" borderId="11" xfId="0" applyFill="1" applyBorder="1" applyProtection="1">
      <protection locked="0"/>
    </xf>
    <xf numFmtId="0" fontId="0" fillId="11" borderId="14" xfId="0" applyFill="1" applyBorder="1" applyProtection="1">
      <protection locked="0"/>
    </xf>
    <xf numFmtId="0" fontId="25" fillId="11" borderId="9" xfId="0" applyFont="1" applyFill="1" applyBorder="1" applyAlignment="1" applyProtection="1">
      <alignment horizontal="center"/>
      <protection locked="0"/>
    </xf>
    <xf numFmtId="0" fontId="26" fillId="11" borderId="4" xfId="0" applyFont="1" applyFill="1" applyBorder="1" applyProtection="1">
      <protection locked="0"/>
    </xf>
    <xf numFmtId="0" fontId="26" fillId="11" borderId="10" xfId="0" applyFont="1" applyFill="1" applyBorder="1" applyProtection="1">
      <protection locked="0"/>
    </xf>
    <xf numFmtId="0" fontId="10" fillId="11" borderId="9" xfId="0" applyFont="1" applyFill="1" applyBorder="1" applyAlignment="1" applyProtection="1">
      <alignment horizontal="center"/>
      <protection locked="0"/>
    </xf>
    <xf numFmtId="0" fontId="0" fillId="11" borderId="4" xfId="0" applyFill="1" applyBorder="1" applyProtection="1">
      <protection locked="0"/>
    </xf>
    <xf numFmtId="0" fontId="0" fillId="11" borderId="10" xfId="0" applyFill="1" applyBorder="1" applyProtection="1">
      <protection locked="0"/>
    </xf>
    <xf numFmtId="3" fontId="5" fillId="0" borderId="11" xfId="0" applyNumberFormat="1" applyFont="1" applyBorder="1" applyAlignment="1"/>
    <xf numFmtId="3" fontId="0" fillId="0" borderId="11" xfId="0" applyNumberFormat="1" applyBorder="1" applyAlignment="1"/>
    <xf numFmtId="0" fontId="5" fillId="0" borderId="6" xfId="0" applyFont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5" fillId="3" borderId="2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15" fillId="6" borderId="29" xfId="0" applyFont="1" applyFill="1" applyBorder="1" applyAlignment="1" applyProtection="1">
      <protection hidden="1"/>
    </xf>
    <xf numFmtId="0" fontId="0" fillId="0" borderId="4" xfId="0" applyBorder="1" applyProtection="1">
      <protection hidden="1"/>
    </xf>
    <xf numFmtId="0" fontId="0" fillId="0" borderId="30" xfId="0" applyBorder="1" applyProtection="1">
      <protection hidden="1"/>
    </xf>
    <xf numFmtId="0" fontId="15" fillId="6" borderId="29" xfId="0" applyFont="1" applyFill="1" applyBorder="1" applyAlignment="1">
      <alignment horizontal="left"/>
    </xf>
    <xf numFmtId="0" fontId="0" fillId="0" borderId="4" xfId="0" applyBorder="1"/>
    <xf numFmtId="0" fontId="0" fillId="0" borderId="30" xfId="0" applyBorder="1"/>
    <xf numFmtId="0" fontId="15" fillId="6" borderId="29" xfId="0" applyFont="1" applyFill="1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30" xfId="0" applyBorder="1" applyProtection="1">
      <protection locked="0"/>
    </xf>
    <xf numFmtId="0" fontId="13" fillId="5" borderId="6" xfId="0" applyFont="1" applyFill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6" fillId="11" borderId="3" xfId="0" applyFont="1" applyFill="1" applyBorder="1" applyAlignment="1">
      <alignment horizontal="center"/>
    </xf>
    <xf numFmtId="0" fontId="9" fillId="11" borderId="9" xfId="0" applyFont="1" applyFill="1" applyBorder="1" applyAlignment="1" applyProtection="1">
      <alignment horizontal="center"/>
      <protection locked="0"/>
    </xf>
    <xf numFmtId="0" fontId="9" fillId="11" borderId="12" xfId="0" applyFont="1" applyFill="1" applyBorder="1" applyAlignment="1" applyProtection="1">
      <alignment horizontal="center"/>
      <protection locked="0"/>
    </xf>
    <xf numFmtId="0" fontId="10" fillId="5" borderId="9" xfId="0" applyFont="1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9" fillId="11" borderId="15" xfId="0" applyFont="1" applyFill="1" applyBorder="1" applyAlignment="1" applyProtection="1">
      <alignment horizontal="center"/>
      <protection locked="0"/>
    </xf>
    <xf numFmtId="0" fontId="9" fillId="11" borderId="0" xfId="0" applyFont="1" applyFill="1" applyBorder="1" applyAlignment="1" applyProtection="1">
      <alignment horizontal="center"/>
      <protection locked="0"/>
    </xf>
    <xf numFmtId="0" fontId="9" fillId="11" borderId="17" xfId="0" applyFont="1" applyFill="1" applyBorder="1" applyAlignment="1" applyProtection="1">
      <alignment horizontal="center"/>
      <protection locked="0"/>
    </xf>
    <xf numFmtId="0" fontId="9" fillId="4" borderId="19" xfId="0" applyFont="1" applyFill="1" applyBorder="1" applyAlignment="1" applyProtection="1">
      <alignment horizontal="left"/>
      <protection locked="0"/>
    </xf>
    <xf numFmtId="0" fontId="9" fillId="4" borderId="18" xfId="0" applyFont="1" applyFill="1" applyBorder="1" applyAlignment="1" applyProtection="1">
      <alignment horizontal="left"/>
      <protection locked="0"/>
    </xf>
    <xf numFmtId="0" fontId="9" fillId="4" borderId="32" xfId="0" applyFont="1" applyFill="1" applyBorder="1" applyAlignment="1" applyProtection="1">
      <alignment horizontal="left"/>
      <protection locked="0"/>
    </xf>
    <xf numFmtId="0" fontId="9" fillId="4" borderId="9" xfId="0" applyFont="1" applyFill="1" applyBorder="1" applyAlignment="1" applyProtection="1">
      <alignment horizontal="left"/>
      <protection locked="0"/>
    </xf>
    <xf numFmtId="0" fontId="9" fillId="4" borderId="4" xfId="0" applyFont="1" applyFill="1" applyBorder="1" applyAlignment="1" applyProtection="1">
      <alignment horizontal="left"/>
      <protection locked="0"/>
    </xf>
    <xf numFmtId="0" fontId="9" fillId="4" borderId="30" xfId="0" applyFont="1" applyFill="1" applyBorder="1" applyAlignment="1" applyProtection="1">
      <alignment horizontal="left"/>
      <protection locked="0"/>
    </xf>
    <xf numFmtId="0" fontId="14" fillId="3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11" borderId="0" xfId="0" applyFill="1" applyBorder="1" applyProtection="1">
      <protection locked="0"/>
    </xf>
    <xf numFmtId="0" fontId="0" fillId="11" borderId="17" xfId="0" applyFill="1" applyBorder="1" applyProtection="1">
      <protection locked="0"/>
    </xf>
    <xf numFmtId="0" fontId="9" fillId="11" borderId="15" xfId="0" applyFont="1" applyFill="1" applyBorder="1" applyAlignment="1" applyProtection="1">
      <alignment horizontal="center" vertical="center"/>
      <protection locked="0"/>
    </xf>
    <xf numFmtId="0" fontId="10" fillId="11" borderId="4" xfId="0" applyFont="1" applyFill="1" applyBorder="1" applyAlignment="1" applyProtection="1">
      <alignment horizontal="center"/>
      <protection locked="0"/>
    </xf>
    <xf numFmtId="0" fontId="10" fillId="11" borderId="10" xfId="0" applyFont="1" applyFill="1" applyBorder="1" applyAlignment="1" applyProtection="1">
      <alignment horizontal="center"/>
      <protection locked="0"/>
    </xf>
    <xf numFmtId="0" fontId="10" fillId="11" borderId="13" xfId="0" applyFont="1" applyFill="1" applyBorder="1" applyAlignment="1" applyProtection="1">
      <alignment horizontal="center"/>
    </xf>
    <xf numFmtId="0" fontId="0" fillId="11" borderId="3" xfId="0" applyFill="1" applyBorder="1" applyProtection="1"/>
    <xf numFmtId="0" fontId="0" fillId="11" borderId="16" xfId="0" applyFill="1" applyBorder="1" applyProtection="1"/>
    <xf numFmtId="0" fontId="5" fillId="0" borderId="0" xfId="0" applyFont="1" applyBorder="1" applyAlignment="1">
      <alignment horizontal="center"/>
    </xf>
    <xf numFmtId="0" fontId="40" fillId="0" borderId="20" xfId="0" applyFont="1" applyBorder="1" applyAlignment="1">
      <alignment horizontal="left" vertical="top" wrapText="1"/>
    </xf>
    <xf numFmtId="0" fontId="40" fillId="0" borderId="0" xfId="0" applyFont="1" applyAlignment="1">
      <alignment horizontal="left" vertical="top"/>
    </xf>
    <xf numFmtId="0" fontId="40" fillId="0" borderId="20" xfId="0" applyFont="1" applyBorder="1" applyAlignment="1">
      <alignment horizontal="left" vertical="top"/>
    </xf>
    <xf numFmtId="0" fontId="6" fillId="0" borderId="0" xfId="0" applyFont="1" applyBorder="1" applyAlignment="1" applyProtection="1">
      <alignment horizontal="center"/>
      <protection locked="0"/>
    </xf>
    <xf numFmtId="3" fontId="34" fillId="6" borderId="0" xfId="0" applyNumberFormat="1" applyFont="1" applyFill="1" applyBorder="1" applyAlignment="1"/>
    <xf numFmtId="0" fontId="35" fillId="6" borderId="0" xfId="0" applyFont="1" applyFill="1" applyBorder="1" applyAlignment="1"/>
    <xf numFmtId="0" fontId="6" fillId="7" borderId="9" xfId="1" applyFont="1" applyFill="1" applyBorder="1" applyAlignment="1">
      <alignment horizontal="center"/>
    </xf>
    <xf numFmtId="0" fontId="10" fillId="6" borderId="0" xfId="0" applyFont="1" applyFill="1" applyBorder="1" applyAlignment="1" applyProtection="1">
      <alignment horizontal="center"/>
      <protection locked="0"/>
    </xf>
    <xf numFmtId="0" fontId="0" fillId="6" borderId="0" xfId="0" applyFill="1" applyBorder="1" applyProtection="1">
      <protection locked="0"/>
    </xf>
    <xf numFmtId="3" fontId="34" fillId="0" borderId="0" xfId="0" applyNumberFormat="1" applyFont="1" applyBorder="1" applyAlignment="1"/>
    <xf numFmtId="0" fontId="35" fillId="0" borderId="0" xfId="0" applyFont="1" applyAlignment="1"/>
    <xf numFmtId="0" fontId="9" fillId="11" borderId="13" xfId="0" applyFont="1" applyFill="1" applyBorder="1" applyAlignment="1" applyProtection="1">
      <alignment horizontal="center" vertical="center"/>
      <protection locked="0"/>
    </xf>
    <xf numFmtId="0" fontId="10" fillId="5" borderId="2" xfId="0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25" fillId="11" borderId="13" xfId="0" applyFont="1" applyFill="1" applyBorder="1" applyAlignment="1" applyProtection="1">
      <alignment horizontal="center"/>
      <protection locked="0"/>
    </xf>
    <xf numFmtId="0" fontId="26" fillId="11" borderId="3" xfId="0" applyFont="1" applyFill="1" applyBorder="1" applyProtection="1">
      <protection locked="0"/>
    </xf>
    <xf numFmtId="0" fontId="26" fillId="11" borderId="16" xfId="0" applyFont="1" applyFill="1" applyBorder="1" applyProtection="1">
      <protection locked="0"/>
    </xf>
  </cellXfs>
  <cellStyles count="7">
    <cellStyle name="Вывод" xfId="1" builtinId="21"/>
    <cellStyle name="Гиперссылка" xfId="3" builtinId="8"/>
    <cellStyle name="Обычный" xfId="0" builtinId="0"/>
    <cellStyle name="Обычный 2" xfId="2"/>
    <cellStyle name="Обычный 3" xfId="4"/>
    <cellStyle name="Обычный 4" xfId="5"/>
    <cellStyle name="Обычный 5" xfId="6"/>
  </cellStyles>
  <dxfs count="8">
    <dxf>
      <font>
        <b/>
        <i val="0"/>
        <color rgb="FF00206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59996337778862885"/>
        </patternFill>
      </fill>
    </dxf>
    <dxf>
      <font>
        <strike val="0"/>
        <color rgb="FFFF0000"/>
      </font>
      <fill>
        <patternFill>
          <bgColor rgb="FFFF0000"/>
        </patternFill>
      </fill>
    </dxf>
    <dxf>
      <font>
        <strike val="0"/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strike val="0"/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</xdr:colOff>
      <xdr:row>0</xdr:row>
      <xdr:rowOff>22860</xdr:rowOff>
    </xdr:from>
    <xdr:to>
      <xdr:col>22</xdr:col>
      <xdr:colOff>114300</xdr:colOff>
      <xdr:row>7</xdr:row>
      <xdr:rowOff>15240</xdr:rowOff>
    </xdr:to>
    <xdr:sp macro="" textlink="">
      <xdr:nvSpPr>
        <xdr:cNvPr id="2" name="TextBox 1"/>
        <xdr:cNvSpPr txBox="1"/>
      </xdr:nvSpPr>
      <xdr:spPr>
        <a:xfrm>
          <a:off x="5577840" y="22860"/>
          <a:ext cx="4678680" cy="141732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/>
            <a:t>Внимание!</a:t>
          </a:r>
        </a:p>
        <a:p>
          <a:r>
            <a:rPr lang="ru-RU" sz="1050" b="1"/>
            <a:t>1) Заполнение опросного листа выполняется путем выбора значений из выпадающего списка.</a:t>
          </a:r>
        </a:p>
        <a:p>
          <a:r>
            <a:rPr lang="ru-RU" sz="1050" b="1"/>
            <a:t>2) При необходимости выбора других значений отличных от имеющихся, требуется согласование с заводом производителем. </a:t>
          </a:r>
        </a:p>
        <a:p>
          <a:r>
            <a:rPr lang="ru-RU" sz="1050" b="1"/>
            <a:t>3)Красная ячейка высвечивается при неправильном выборе значений, требуется выбрать другое значение.</a:t>
          </a:r>
        </a:p>
        <a:p>
          <a:r>
            <a:rPr lang="ru-RU" sz="1050" b="1"/>
            <a:t>4) Дополнительные требования прописывать снизу в разделе примечания.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00B050"/>
    <pageSetUpPr fitToPage="1"/>
  </sheetPr>
  <dimension ref="A1:AI75"/>
  <sheetViews>
    <sheetView tabSelected="1" showRuler="0" topLeftCell="B1" zoomScaleNormal="100" workbookViewId="0">
      <selection activeCell="Y14" sqref="Y14"/>
    </sheetView>
  </sheetViews>
  <sheetFormatPr defaultColWidth="9.140625" defaultRowHeight="15" x14ac:dyDescent="0.25"/>
  <cols>
    <col min="1" max="1" width="6.140625" style="1" hidden="1" customWidth="1"/>
    <col min="2" max="2" width="40" style="5" customWidth="1"/>
    <col min="3" max="11" width="5.140625" style="14" customWidth="1"/>
    <col min="12" max="17" width="5.140625" style="5" customWidth="1"/>
    <col min="18" max="21" width="5.42578125" style="5" customWidth="1"/>
    <col min="22" max="25" width="9.42578125" style="1" customWidth="1"/>
    <col min="26" max="32" width="5.42578125" style="1" customWidth="1"/>
    <col min="33" max="16384" width="9.140625" style="1"/>
  </cols>
  <sheetData>
    <row r="1" spans="2:35" ht="15.75" x14ac:dyDescent="0.25">
      <c r="B1" s="60" t="s">
        <v>47</v>
      </c>
      <c r="C1" s="196" t="s">
        <v>297</v>
      </c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8"/>
    </row>
    <row r="2" spans="2:35" ht="15.75" x14ac:dyDescent="0.25">
      <c r="B2" s="59" t="s">
        <v>48</v>
      </c>
      <c r="C2" s="199" t="s">
        <v>298</v>
      </c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1"/>
    </row>
    <row r="3" spans="2:35" ht="15.75" x14ac:dyDescent="0.25">
      <c r="B3" s="59" t="s">
        <v>49</v>
      </c>
      <c r="C3" s="199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1"/>
    </row>
    <row r="4" spans="2:35" x14ac:dyDescent="0.25">
      <c r="B4" s="79"/>
      <c r="D4" s="9"/>
      <c r="E4" s="9"/>
      <c r="F4" s="9"/>
      <c r="G4" s="9"/>
      <c r="H4" s="9"/>
      <c r="I4" s="9"/>
      <c r="J4" s="9"/>
      <c r="K4" s="9"/>
      <c r="L4" s="10"/>
      <c r="M4" s="25"/>
      <c r="N4" s="25"/>
      <c r="O4" s="168"/>
      <c r="P4" s="169"/>
      <c r="Q4" s="169"/>
      <c r="R4" s="25"/>
      <c r="S4" s="25"/>
      <c r="T4" s="25"/>
      <c r="U4" s="35"/>
    </row>
    <row r="5" spans="2:35" ht="15.75" thickBot="1" x14ac:dyDescent="0.3">
      <c r="C5" s="80"/>
      <c r="D5" s="9"/>
      <c r="E5" s="9"/>
      <c r="F5" s="9"/>
      <c r="G5" s="9"/>
      <c r="H5" s="9"/>
      <c r="I5" s="9"/>
      <c r="J5" s="9"/>
      <c r="K5" s="9"/>
      <c r="L5" s="10"/>
      <c r="M5" s="25"/>
      <c r="N5" s="25"/>
      <c r="O5" s="25"/>
      <c r="P5" s="25"/>
      <c r="Q5" s="25"/>
      <c r="R5" s="25"/>
      <c r="S5" s="25"/>
      <c r="T5" s="25"/>
      <c r="U5" s="35"/>
    </row>
    <row r="6" spans="2:35" ht="21" thickBot="1" x14ac:dyDescent="0.35">
      <c r="B6" s="202" t="s">
        <v>63</v>
      </c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4"/>
    </row>
    <row r="7" spans="2:35" x14ac:dyDescent="0.25">
      <c r="B7" s="37" t="s">
        <v>40</v>
      </c>
      <c r="C7" s="188" t="s">
        <v>0</v>
      </c>
      <c r="D7" s="188"/>
      <c r="E7" s="188"/>
      <c r="F7" s="188"/>
      <c r="G7" s="188"/>
      <c r="H7" s="188"/>
      <c r="I7" s="188"/>
      <c r="J7" s="188"/>
      <c r="K7" s="9"/>
      <c r="L7" s="10"/>
      <c r="M7" s="25"/>
      <c r="N7" s="25"/>
      <c r="O7" s="25"/>
      <c r="P7" s="25"/>
      <c r="Q7" s="25"/>
      <c r="R7" s="134"/>
      <c r="S7" s="134"/>
      <c r="T7" s="134"/>
      <c r="U7" s="35"/>
      <c r="V7" s="134"/>
      <c r="W7" s="134"/>
      <c r="X7" s="134"/>
      <c r="Y7" s="134"/>
      <c r="Z7" s="109"/>
      <c r="AA7" s="110"/>
      <c r="AB7" s="111"/>
      <c r="AC7" s="111"/>
      <c r="AD7" s="111"/>
      <c r="AE7" s="111"/>
      <c r="AF7" s="111"/>
      <c r="AG7" s="125"/>
      <c r="AH7" s="125"/>
      <c r="AI7" s="125"/>
    </row>
    <row r="8" spans="2:35" ht="15.75" x14ac:dyDescent="0.25">
      <c r="B8" s="38" t="s">
        <v>38</v>
      </c>
      <c r="C8" s="189" t="s">
        <v>1</v>
      </c>
      <c r="D8" s="166"/>
      <c r="E8" s="166"/>
      <c r="F8" s="166"/>
      <c r="G8" s="166"/>
      <c r="H8" s="166"/>
      <c r="I8" s="166"/>
      <c r="J8" s="167"/>
      <c r="K8" s="39"/>
      <c r="L8" s="30"/>
      <c r="M8" s="25"/>
      <c r="N8" s="25"/>
      <c r="O8" s="25"/>
      <c r="P8" s="150" t="str">
        <f>IF(C8="Проходная","Общее количество ячеек РУВН:","")</f>
        <v/>
      </c>
      <c r="Q8" s="213" t="str">
        <f>IF(S8="(максимум 14)",6,"")</f>
        <v/>
      </c>
      <c r="R8" s="213"/>
      <c r="S8" s="151" t="str">
        <f>IF(C8="Проходная","(максимум 14)","")</f>
        <v/>
      </c>
      <c r="T8" s="128"/>
      <c r="U8" s="35"/>
      <c r="V8" s="128"/>
      <c r="W8" s="128"/>
      <c r="X8" s="128"/>
      <c r="Y8" s="128"/>
      <c r="Z8" s="112"/>
      <c r="AA8" s="113"/>
      <c r="AB8" s="111"/>
      <c r="AC8" s="111"/>
      <c r="AD8" s="111"/>
      <c r="AE8" s="111"/>
      <c r="AF8" s="111"/>
      <c r="AG8" s="125"/>
      <c r="AH8" s="125"/>
      <c r="AI8" s="125"/>
    </row>
    <row r="9" spans="2:35" ht="15.75" x14ac:dyDescent="0.25">
      <c r="B9" s="38" t="s">
        <v>3</v>
      </c>
      <c r="C9" s="189">
        <v>2</v>
      </c>
      <c r="D9" s="166"/>
      <c r="E9" s="166"/>
      <c r="F9" s="166"/>
      <c r="G9" s="166"/>
      <c r="H9" s="166"/>
      <c r="I9" s="166"/>
      <c r="J9" s="167"/>
      <c r="K9" s="39"/>
      <c r="L9" s="29"/>
      <c r="M9" s="25"/>
      <c r="N9" s="25"/>
      <c r="O9" s="25"/>
      <c r="P9" s="25"/>
      <c r="Q9" s="25"/>
      <c r="R9" s="127"/>
      <c r="S9" s="128"/>
      <c r="T9" s="128"/>
      <c r="U9" s="35"/>
      <c r="V9" s="128"/>
      <c r="W9" s="128"/>
      <c r="X9" s="128"/>
      <c r="Y9" s="128"/>
      <c r="Z9" s="112"/>
      <c r="AA9" s="114"/>
      <c r="AB9" s="111"/>
      <c r="AC9" s="111"/>
      <c r="AD9" s="111"/>
      <c r="AE9" s="111"/>
      <c r="AF9" s="111"/>
      <c r="AG9" s="125"/>
      <c r="AH9" s="125"/>
      <c r="AI9" s="125"/>
    </row>
    <row r="10" spans="2:35" ht="15.75" x14ac:dyDescent="0.25">
      <c r="B10" s="40" t="s">
        <v>4</v>
      </c>
      <c r="C10" s="190">
        <v>630</v>
      </c>
      <c r="D10" s="160"/>
      <c r="E10" s="160"/>
      <c r="F10" s="160"/>
      <c r="G10" s="160"/>
      <c r="H10" s="160"/>
      <c r="I10" s="160"/>
      <c r="J10" s="161"/>
      <c r="K10" s="36"/>
      <c r="L10" s="41"/>
      <c r="M10" s="25"/>
      <c r="N10" s="223"/>
      <c r="O10" s="224"/>
      <c r="P10" s="224"/>
      <c r="Q10" s="224"/>
      <c r="R10" s="127"/>
      <c r="S10" s="128"/>
      <c r="T10" s="128"/>
      <c r="U10" s="35"/>
      <c r="V10" s="128"/>
      <c r="W10" s="128"/>
      <c r="X10" s="128"/>
      <c r="Y10" s="128"/>
      <c r="Z10" s="115"/>
      <c r="AA10" s="116"/>
      <c r="AB10" s="111"/>
      <c r="AC10" s="218"/>
      <c r="AD10" s="219"/>
      <c r="AE10" s="219"/>
      <c r="AF10" s="219"/>
      <c r="AG10" s="125"/>
      <c r="AH10" s="125"/>
      <c r="AI10" s="125"/>
    </row>
    <row r="11" spans="2:35" ht="15.75" x14ac:dyDescent="0.25">
      <c r="B11" s="42" t="s">
        <v>97</v>
      </c>
      <c r="C11" s="193" t="s">
        <v>16</v>
      </c>
      <c r="D11" s="194"/>
      <c r="E11" s="194"/>
      <c r="F11" s="194"/>
      <c r="G11" s="194"/>
      <c r="H11" s="194"/>
      <c r="I11" s="194"/>
      <c r="J11" s="195"/>
      <c r="K11" s="39" t="str">
        <f>IF((C10&gt;400)*AND(C11="НЕТ"), "ОШИБКА", "")</f>
        <v/>
      </c>
      <c r="L11" s="41"/>
      <c r="M11" s="25"/>
      <c r="N11" s="224"/>
      <c r="O11" s="224"/>
      <c r="P11" s="224"/>
      <c r="Q11" s="224"/>
      <c r="R11" s="127"/>
      <c r="S11" s="127"/>
      <c r="T11" s="127"/>
      <c r="U11" s="35"/>
      <c r="V11" s="127"/>
      <c r="W11" s="127"/>
      <c r="X11" s="127"/>
      <c r="Y11" s="127"/>
      <c r="Z11" s="112"/>
      <c r="AA11" s="116"/>
      <c r="AB11" s="111"/>
      <c r="AC11" s="219"/>
      <c r="AD11" s="219"/>
      <c r="AE11" s="219"/>
      <c r="AF11" s="219"/>
      <c r="AG11" s="125"/>
      <c r="AH11" s="125"/>
      <c r="AI11" s="125"/>
    </row>
    <row r="12" spans="2:35" ht="16.5" customHeight="1" x14ac:dyDescent="0.25">
      <c r="B12" s="43" t="s">
        <v>5</v>
      </c>
      <c r="C12" s="207" t="s">
        <v>6</v>
      </c>
      <c r="D12" s="205"/>
      <c r="E12" s="205"/>
      <c r="F12" s="205"/>
      <c r="G12" s="205"/>
      <c r="H12" s="205"/>
      <c r="I12" s="205"/>
      <c r="J12" s="206"/>
      <c r="K12" s="7"/>
      <c r="L12" s="29"/>
      <c r="M12" s="25"/>
      <c r="N12" s="25"/>
      <c r="O12" s="25"/>
      <c r="P12" s="25"/>
      <c r="Q12" s="25"/>
      <c r="R12" s="129"/>
      <c r="S12" s="128"/>
      <c r="T12" s="128"/>
      <c r="U12" s="35"/>
      <c r="V12" s="128"/>
      <c r="W12" s="128"/>
      <c r="X12" s="128"/>
      <c r="Y12" s="128"/>
      <c r="Z12" s="117"/>
      <c r="AA12" s="114"/>
      <c r="AB12" s="111"/>
      <c r="AC12" s="111"/>
      <c r="AD12" s="111"/>
      <c r="AE12" s="111"/>
      <c r="AF12" s="111"/>
      <c r="AG12" s="125"/>
      <c r="AH12" s="125"/>
      <c r="AI12" s="125"/>
    </row>
    <row r="13" spans="2:35" ht="15.75" x14ac:dyDescent="0.25">
      <c r="B13" s="44" t="s">
        <v>7</v>
      </c>
      <c r="C13" s="193" t="s">
        <v>8</v>
      </c>
      <c r="D13" s="205"/>
      <c r="E13" s="205"/>
      <c r="F13" s="205"/>
      <c r="G13" s="205"/>
      <c r="H13" s="205"/>
      <c r="I13" s="205"/>
      <c r="J13" s="206"/>
      <c r="K13" s="9"/>
      <c r="L13" s="30"/>
      <c r="M13" s="25"/>
      <c r="N13" s="25"/>
      <c r="O13" s="25"/>
      <c r="P13" s="25"/>
      <c r="Q13" s="25"/>
      <c r="R13" s="127"/>
      <c r="S13" s="128"/>
      <c r="T13" s="128"/>
      <c r="U13" s="35"/>
      <c r="V13" s="128"/>
      <c r="W13" s="128"/>
      <c r="X13" s="128"/>
      <c r="Y13" s="128"/>
      <c r="Z13" s="109"/>
      <c r="AA13" s="113"/>
      <c r="AB13" s="111"/>
      <c r="AC13" s="111"/>
      <c r="AD13" s="111"/>
      <c r="AE13" s="111"/>
      <c r="AF13" s="111"/>
      <c r="AG13" s="125"/>
      <c r="AH13" s="125"/>
      <c r="AI13" s="125"/>
    </row>
    <row r="14" spans="2:35" ht="15.75" x14ac:dyDescent="0.25">
      <c r="B14" s="45" t="s">
        <v>51</v>
      </c>
      <c r="C14" s="225">
        <v>10</v>
      </c>
      <c r="D14" s="157"/>
      <c r="E14" s="157"/>
      <c r="F14" s="157"/>
      <c r="G14" s="157"/>
      <c r="H14" s="157"/>
      <c r="I14" s="157"/>
      <c r="J14" s="158"/>
      <c r="L14" s="30"/>
      <c r="M14" s="25"/>
      <c r="N14" s="25"/>
      <c r="O14" s="25"/>
      <c r="P14" s="25"/>
      <c r="Q14" s="25"/>
      <c r="R14" s="129"/>
      <c r="S14" s="128"/>
      <c r="T14" s="128"/>
      <c r="U14" s="35"/>
      <c r="V14" s="128"/>
      <c r="W14" s="128"/>
      <c r="X14" s="128"/>
      <c r="Y14" s="128"/>
      <c r="Z14" s="115"/>
      <c r="AA14" s="113"/>
      <c r="AB14" s="111"/>
      <c r="AC14" s="111"/>
      <c r="AD14" s="111"/>
      <c r="AE14" s="111"/>
      <c r="AF14" s="111"/>
      <c r="AG14" s="125"/>
      <c r="AH14" s="125"/>
      <c r="AI14" s="125"/>
    </row>
    <row r="15" spans="2:35" ht="15.75" x14ac:dyDescent="0.25">
      <c r="B15" s="38" t="s">
        <v>12</v>
      </c>
      <c r="C15" s="189" t="s">
        <v>14</v>
      </c>
      <c r="D15" s="166"/>
      <c r="E15" s="166"/>
      <c r="F15" s="166"/>
      <c r="G15" s="166"/>
      <c r="H15" s="166"/>
      <c r="I15" s="166"/>
      <c r="J15" s="167"/>
      <c r="K15" s="100" t="str">
        <f>IF(C15="Воздух","(крепления для СИП)"," ")</f>
        <v xml:space="preserve"> </v>
      </c>
      <c r="L15" s="30"/>
      <c r="M15" s="25"/>
      <c r="N15" s="25"/>
      <c r="O15" s="25"/>
      <c r="P15" s="25"/>
      <c r="Q15" s="25"/>
      <c r="R15" s="127"/>
      <c r="S15" s="128"/>
      <c r="T15" s="128"/>
      <c r="U15" s="35"/>
      <c r="V15" s="128"/>
      <c r="W15" s="128"/>
      <c r="X15" s="128"/>
      <c r="Y15" s="128"/>
      <c r="Z15" s="118"/>
      <c r="AA15" s="113"/>
      <c r="AB15" s="111"/>
      <c r="AC15" s="111"/>
      <c r="AD15" s="111"/>
      <c r="AE15" s="111"/>
      <c r="AF15" s="111"/>
      <c r="AG15" s="125"/>
      <c r="AH15" s="125"/>
      <c r="AI15" s="125"/>
    </row>
    <row r="16" spans="2:35" ht="15.75" x14ac:dyDescent="0.25">
      <c r="B16" s="38" t="s">
        <v>15</v>
      </c>
      <c r="C16" s="189" t="s">
        <v>14</v>
      </c>
      <c r="D16" s="166"/>
      <c r="E16" s="166"/>
      <c r="F16" s="166"/>
      <c r="G16" s="166"/>
      <c r="H16" s="166"/>
      <c r="I16" s="166"/>
      <c r="J16" s="167"/>
      <c r="K16" s="100" t="str">
        <f>IF(C16="Воздух","(крепления для СИП)"," ")</f>
        <v xml:space="preserve"> </v>
      </c>
      <c r="L16" s="30"/>
      <c r="M16" s="25"/>
      <c r="N16" s="25"/>
      <c r="O16" s="25"/>
      <c r="P16" s="25"/>
      <c r="Q16" s="25"/>
      <c r="R16" s="127"/>
      <c r="S16" s="128"/>
      <c r="T16" s="128"/>
      <c r="U16" s="35"/>
      <c r="V16" s="128"/>
      <c r="W16" s="128"/>
      <c r="X16" s="128"/>
      <c r="Y16" s="128"/>
      <c r="Z16" s="118"/>
      <c r="AA16" s="113"/>
      <c r="AB16" s="111"/>
      <c r="AC16" s="111"/>
      <c r="AD16" s="111"/>
      <c r="AE16" s="111"/>
      <c r="AF16" s="111"/>
      <c r="AG16" s="125"/>
      <c r="AH16" s="125"/>
      <c r="AI16" s="125"/>
    </row>
    <row r="17" spans="2:35" ht="15.75" x14ac:dyDescent="0.25">
      <c r="B17" s="46" t="s">
        <v>56</v>
      </c>
      <c r="C17" s="189" t="s">
        <v>57</v>
      </c>
      <c r="D17" s="166"/>
      <c r="E17" s="166"/>
      <c r="F17" s="166"/>
      <c r="G17" s="166"/>
      <c r="H17" s="166"/>
      <c r="I17" s="166"/>
      <c r="J17" s="167"/>
      <c r="K17" s="9"/>
      <c r="L17" s="30"/>
      <c r="M17" s="25"/>
      <c r="N17" s="25"/>
      <c r="O17" s="25"/>
      <c r="P17" s="25"/>
      <c r="Q17" s="25"/>
      <c r="R17" s="127"/>
      <c r="S17" s="128"/>
      <c r="T17" s="128"/>
      <c r="U17" s="35"/>
      <c r="V17" s="128"/>
      <c r="W17" s="128"/>
      <c r="X17" s="128"/>
      <c r="Y17" s="128"/>
      <c r="Z17" s="109"/>
      <c r="AA17" s="113"/>
      <c r="AB17" s="111"/>
      <c r="AC17" s="111"/>
      <c r="AD17" s="111"/>
      <c r="AE17" s="111"/>
      <c r="AF17" s="111"/>
      <c r="AG17" s="125"/>
      <c r="AH17" s="125"/>
      <c r="AI17" s="125"/>
    </row>
    <row r="18" spans="2:35" ht="15.75" x14ac:dyDescent="0.25">
      <c r="B18" s="38" t="s">
        <v>23</v>
      </c>
      <c r="C18" s="189" t="s">
        <v>168</v>
      </c>
      <c r="D18" s="166"/>
      <c r="E18" s="166"/>
      <c r="F18" s="166"/>
      <c r="G18" s="166"/>
      <c r="H18" s="166"/>
      <c r="I18" s="166"/>
      <c r="J18" s="167"/>
      <c r="K18" s="90" t="str">
        <f>IF(C14=6,"ОПНВН6","ОПНВН10")</f>
        <v>ОПНВН10</v>
      </c>
      <c r="L18" s="64"/>
      <c r="M18" s="41"/>
      <c r="N18" s="41"/>
      <c r="O18" s="41"/>
      <c r="P18" s="41"/>
      <c r="Q18" s="41"/>
      <c r="R18" s="127"/>
      <c r="S18" s="128"/>
      <c r="T18" s="128"/>
      <c r="U18" s="35"/>
      <c r="V18" s="128"/>
      <c r="W18" s="128"/>
      <c r="X18" s="128"/>
      <c r="Y18" s="128"/>
      <c r="Z18" s="119"/>
      <c r="AA18" s="120"/>
      <c r="AB18" s="116"/>
      <c r="AC18" s="116"/>
      <c r="AD18" s="116"/>
      <c r="AE18" s="116"/>
      <c r="AF18" s="116"/>
      <c r="AG18" s="125"/>
      <c r="AH18" s="125"/>
      <c r="AI18" s="125"/>
    </row>
    <row r="19" spans="2:35" ht="15.75" x14ac:dyDescent="0.25">
      <c r="B19" s="62" t="s">
        <v>131</v>
      </c>
      <c r="C19" s="189" t="s">
        <v>17</v>
      </c>
      <c r="D19" s="166"/>
      <c r="E19" s="166"/>
      <c r="F19" s="166"/>
      <c r="G19" s="166"/>
      <c r="H19" s="166"/>
      <c r="I19" s="166"/>
      <c r="J19" s="167"/>
      <c r="K19" s="39" t="str">
        <f>IF((C19="Да")*AND(C10&gt;250), "ОШИБКА", "")</f>
        <v/>
      </c>
      <c r="L19" s="30"/>
      <c r="M19" s="41"/>
      <c r="N19" s="41"/>
      <c r="O19" s="25"/>
      <c r="P19" s="25"/>
      <c r="Q19" s="25"/>
      <c r="R19" s="127"/>
      <c r="S19" s="128"/>
      <c r="T19" s="128"/>
      <c r="U19" s="35"/>
      <c r="V19" s="128"/>
      <c r="W19" s="128"/>
      <c r="X19" s="128"/>
      <c r="Y19" s="128"/>
      <c r="Z19" s="112"/>
      <c r="AA19" s="113"/>
      <c r="AB19" s="116"/>
      <c r="AC19" s="116"/>
      <c r="AD19" s="111"/>
      <c r="AE19" s="111"/>
      <c r="AF19" s="111"/>
      <c r="AG19" s="125"/>
      <c r="AH19" s="125"/>
      <c r="AI19" s="125"/>
    </row>
    <row r="20" spans="2:35" ht="15.75" x14ac:dyDescent="0.25">
      <c r="B20" s="38" t="s">
        <v>18</v>
      </c>
      <c r="C20" s="189" t="s">
        <v>39</v>
      </c>
      <c r="D20" s="166"/>
      <c r="E20" s="166"/>
      <c r="F20" s="166"/>
      <c r="G20" s="166"/>
      <c r="H20" s="166"/>
      <c r="I20" s="166"/>
      <c r="J20" s="167"/>
      <c r="K20" s="39" t="str">
        <f>IF((C19="Да")*AND(OR((C20="ВНАп"),(C20="РВЗ"))), "ОШИБКА", "")</f>
        <v/>
      </c>
      <c r="L20" s="30"/>
      <c r="M20" s="41"/>
      <c r="N20" s="41"/>
      <c r="O20" s="25"/>
      <c r="P20" s="25"/>
      <c r="Q20" s="25"/>
      <c r="R20" s="127"/>
      <c r="S20" s="128"/>
      <c r="T20" s="128"/>
      <c r="U20" s="35"/>
      <c r="V20" s="128"/>
      <c r="W20" s="128"/>
      <c r="X20" s="128"/>
      <c r="Y20" s="128"/>
      <c r="Z20" s="112"/>
      <c r="AA20" s="113"/>
      <c r="AB20" s="116"/>
      <c r="AC20" s="116"/>
      <c r="AD20" s="111"/>
      <c r="AE20" s="111"/>
      <c r="AF20" s="111"/>
      <c r="AG20" s="125"/>
      <c r="AH20" s="125"/>
      <c r="AI20" s="125"/>
    </row>
    <row r="21" spans="2:35" x14ac:dyDescent="0.25">
      <c r="B21" s="38" t="s">
        <v>22</v>
      </c>
      <c r="C21" s="165" t="s">
        <v>111</v>
      </c>
      <c r="D21" s="208"/>
      <c r="E21" s="208"/>
      <c r="F21" s="208"/>
      <c r="G21" s="208"/>
      <c r="H21" s="208"/>
      <c r="I21" s="208"/>
      <c r="J21" s="209"/>
      <c r="K21" s="90" t="str">
        <f>IF(C14=6,"ПКТ6","ПКТ10")</f>
        <v>ПКТ10</v>
      </c>
      <c r="R21" s="130"/>
      <c r="S21" s="130"/>
      <c r="T21" s="130"/>
      <c r="U21" s="35"/>
      <c r="V21" s="130"/>
      <c r="W21" s="130"/>
      <c r="X21" s="130"/>
      <c r="Y21" s="130"/>
      <c r="Z21" s="119"/>
      <c r="AA21" s="111"/>
      <c r="AB21" s="111"/>
      <c r="AC21" s="111"/>
      <c r="AD21" s="111"/>
      <c r="AE21" s="111"/>
      <c r="AF21" s="111"/>
      <c r="AG21" s="125"/>
      <c r="AH21" s="125"/>
      <c r="AI21" s="125"/>
    </row>
    <row r="22" spans="2:35" x14ac:dyDescent="0.25">
      <c r="B22" s="47"/>
      <c r="C22" s="81" t="s">
        <v>142</v>
      </c>
      <c r="D22" s="82"/>
      <c r="E22" s="82"/>
      <c r="F22" s="83"/>
      <c r="G22" s="84" t="str">
        <f>INDEX(Списки!C23:K24,MATCH(ОЛ!C14,Списки!B23:B24,0),MATCH(C10,Списки!C19:K19,0))</f>
        <v>ПКТ 103-10-80-20 У3</v>
      </c>
      <c r="H22" s="82"/>
      <c r="I22" s="82"/>
      <c r="J22" s="85"/>
      <c r="K22" s="9"/>
      <c r="L22" s="10"/>
      <c r="M22" s="25"/>
      <c r="N22" s="25"/>
      <c r="O22" s="65"/>
      <c r="P22" s="25"/>
      <c r="Q22" s="25"/>
      <c r="R22" s="126"/>
      <c r="S22" s="109"/>
      <c r="T22" s="109"/>
      <c r="U22" s="35"/>
      <c r="V22" s="126"/>
      <c r="W22" s="109"/>
      <c r="X22" s="109"/>
      <c r="Y22" s="109"/>
      <c r="Z22" s="109"/>
      <c r="AA22" s="110"/>
      <c r="AB22" s="111"/>
      <c r="AC22" s="111"/>
      <c r="AD22" s="121"/>
      <c r="AE22" s="111"/>
      <c r="AF22" s="111"/>
      <c r="AG22" s="125"/>
      <c r="AH22" s="125"/>
      <c r="AI22" s="125"/>
    </row>
    <row r="23" spans="2:35" x14ac:dyDescent="0.25">
      <c r="B23" s="37" t="s">
        <v>30</v>
      </c>
      <c r="C23" s="9"/>
      <c r="D23" s="9"/>
      <c r="E23" s="9"/>
      <c r="F23" s="9"/>
      <c r="G23" s="9"/>
      <c r="H23" s="9"/>
      <c r="I23" s="9"/>
      <c r="J23" s="9"/>
      <c r="K23" s="9"/>
      <c r="L23" s="10"/>
      <c r="M23" s="25"/>
      <c r="N23" s="25"/>
      <c r="O23" s="25"/>
      <c r="P23" s="25"/>
      <c r="Q23" s="25"/>
      <c r="R23" s="109"/>
      <c r="S23" s="109"/>
      <c r="T23" s="109"/>
      <c r="U23" s="35"/>
      <c r="V23" s="109"/>
      <c r="W23" s="109"/>
      <c r="X23" s="109"/>
      <c r="Y23" s="109"/>
      <c r="Z23" s="109"/>
      <c r="AA23" s="110"/>
      <c r="AB23" s="111"/>
      <c r="AC23" s="111"/>
      <c r="AD23" s="111"/>
      <c r="AE23" s="111"/>
      <c r="AF23" s="111"/>
      <c r="AG23" s="125"/>
      <c r="AH23" s="125"/>
      <c r="AI23" s="125"/>
    </row>
    <row r="24" spans="2:35" x14ac:dyDescent="0.25">
      <c r="B24" s="48" t="s">
        <v>24</v>
      </c>
      <c r="C24" s="159" t="s">
        <v>125</v>
      </c>
      <c r="D24" s="160"/>
      <c r="E24" s="160"/>
      <c r="F24" s="160"/>
      <c r="G24" s="160"/>
      <c r="H24" s="160"/>
      <c r="I24" s="160"/>
      <c r="J24" s="161"/>
      <c r="K24" s="9"/>
      <c r="L24" s="30"/>
      <c r="M24" s="41"/>
      <c r="N24" s="41"/>
      <c r="O24" s="25"/>
      <c r="P24" s="25"/>
      <c r="Q24" s="25"/>
      <c r="R24" s="130"/>
      <c r="S24" s="128"/>
      <c r="T24" s="128"/>
      <c r="U24" s="35"/>
      <c r="V24" s="214" t="str">
        <f>IF(AND(C24="РЕ 19-43",OR(C26="ВА5343",C26="ВА5543")),"РЕ19-43 конструктивно не стыкуется с выбранным автоматом, что увеличивает стоимость подстанции.
Рекомендуется применить РЕ19-44","")</f>
        <v/>
      </c>
      <c r="W24" s="215"/>
      <c r="X24" s="215"/>
      <c r="Y24" s="215"/>
      <c r="Z24" s="109"/>
      <c r="AA24" s="113"/>
      <c r="AB24" s="116"/>
      <c r="AC24" s="116"/>
      <c r="AD24" s="111"/>
      <c r="AE24" s="111"/>
      <c r="AF24" s="111"/>
      <c r="AG24" s="125"/>
      <c r="AH24" s="125"/>
      <c r="AI24" s="125"/>
    </row>
    <row r="25" spans="2:35" x14ac:dyDescent="0.25">
      <c r="B25" s="45" t="s">
        <v>29</v>
      </c>
      <c r="C25" s="210">
        <f>IF(C24="РЕ 19-35",250,IF(C24="РЕ 19-37",400,IF(C24="РЕ 19-39",630,IF(C24="РЕ 19-41",1000,IF(C24="РЕ 19-43",1600,IF(C24="РЕ 19-44",2000," "))))))</f>
        <v>1600</v>
      </c>
      <c r="D25" s="211"/>
      <c r="E25" s="211"/>
      <c r="F25" s="211"/>
      <c r="G25" s="211"/>
      <c r="H25" s="211"/>
      <c r="I25" s="211"/>
      <c r="J25" s="212"/>
      <c r="K25" s="9"/>
      <c r="L25" s="30"/>
      <c r="M25" s="41"/>
      <c r="N25" s="41"/>
      <c r="O25" s="25"/>
      <c r="P25" s="25"/>
      <c r="Q25" s="25"/>
      <c r="R25" s="131"/>
      <c r="S25" s="132"/>
      <c r="T25" s="132"/>
      <c r="U25" s="35"/>
      <c r="V25" s="216"/>
      <c r="W25" s="215"/>
      <c r="X25" s="215"/>
      <c r="Y25" s="215"/>
      <c r="Z25" s="109"/>
      <c r="AA25" s="113"/>
      <c r="AB25" s="116"/>
      <c r="AC25" s="116"/>
      <c r="AD25" s="111"/>
      <c r="AE25" s="111"/>
      <c r="AF25" s="111"/>
      <c r="AG25" s="125"/>
      <c r="AH25" s="125"/>
      <c r="AI25" s="125"/>
    </row>
    <row r="26" spans="2:35" x14ac:dyDescent="0.25">
      <c r="B26" s="48" t="s">
        <v>31</v>
      </c>
      <c r="C26" s="159" t="s">
        <v>154</v>
      </c>
      <c r="D26" s="160"/>
      <c r="E26" s="160"/>
      <c r="F26" s="160"/>
      <c r="G26" s="160"/>
      <c r="H26" s="160"/>
      <c r="I26" s="160"/>
      <c r="J26" s="161"/>
      <c r="K26" s="9"/>
      <c r="L26" s="30"/>
      <c r="M26" s="41"/>
      <c r="N26" s="41"/>
      <c r="O26" s="25"/>
      <c r="P26" s="25"/>
      <c r="Q26" s="25"/>
      <c r="R26" s="130"/>
      <c r="S26" s="128"/>
      <c r="T26" s="128"/>
      <c r="U26" s="35"/>
      <c r="V26" s="216"/>
      <c r="W26" s="215"/>
      <c r="X26" s="215"/>
      <c r="Y26" s="215"/>
      <c r="Z26" s="109"/>
      <c r="AA26" s="113"/>
      <c r="AB26" s="116"/>
      <c r="AC26" s="116"/>
      <c r="AD26" s="111"/>
      <c r="AE26" s="111"/>
      <c r="AF26" s="111"/>
      <c r="AG26" s="125"/>
      <c r="AH26" s="125"/>
      <c r="AI26" s="125"/>
    </row>
    <row r="27" spans="2:35" x14ac:dyDescent="0.25">
      <c r="B27" s="45" t="s">
        <v>29</v>
      </c>
      <c r="C27" s="156">
        <v>1000</v>
      </c>
      <c r="D27" s="157"/>
      <c r="E27" s="157"/>
      <c r="F27" s="157"/>
      <c r="G27" s="157"/>
      <c r="H27" s="157"/>
      <c r="I27" s="157"/>
      <c r="J27" s="158"/>
      <c r="K27" s="9" t="str">
        <f ca="1">IFERROR(IF(MATCH(C27,INDIRECT($C$26),0)&gt;0," "," "),"О")</f>
        <v xml:space="preserve"> </v>
      </c>
      <c r="L27" s="30"/>
      <c r="M27" s="41"/>
      <c r="N27" s="41"/>
      <c r="O27" s="25"/>
      <c r="P27" s="25"/>
      <c r="Q27" s="25"/>
      <c r="R27" s="130"/>
      <c r="S27" s="128"/>
      <c r="T27" s="128"/>
      <c r="U27" s="35"/>
      <c r="V27" s="216"/>
      <c r="W27" s="215"/>
      <c r="X27" s="215"/>
      <c r="Y27" s="215"/>
      <c r="Z27" s="109"/>
      <c r="AA27" s="113"/>
      <c r="AB27" s="116"/>
      <c r="AC27" s="116"/>
      <c r="AD27" s="111"/>
      <c r="AE27" s="111"/>
      <c r="AF27" s="111"/>
      <c r="AG27" s="125"/>
      <c r="AH27" s="125"/>
      <c r="AI27" s="125"/>
    </row>
    <row r="28" spans="2:35" x14ac:dyDescent="0.25">
      <c r="B28" s="38" t="s">
        <v>74</v>
      </c>
      <c r="C28" s="165" t="s">
        <v>35</v>
      </c>
      <c r="D28" s="166"/>
      <c r="E28" s="166"/>
      <c r="F28" s="166"/>
      <c r="G28" s="166"/>
      <c r="H28" s="166"/>
      <c r="I28" s="166"/>
      <c r="J28" s="167"/>
      <c r="K28" s="9" t="s">
        <v>75</v>
      </c>
      <c r="L28" s="191" t="s">
        <v>89</v>
      </c>
      <c r="M28" s="183"/>
      <c r="N28" s="192"/>
      <c r="O28" s="25"/>
      <c r="P28" s="152" t="str">
        <f>IF(AND(C28&lt;&gt;"НЕТ",L33="(счетчик прямого включения)"),"! выбран счетчик прямого включения"," ")</f>
        <v xml:space="preserve"> </v>
      </c>
      <c r="Q28" s="25"/>
      <c r="R28" s="130"/>
      <c r="S28" s="128"/>
      <c r="T28" s="128"/>
      <c r="U28" s="35"/>
      <c r="V28" s="128"/>
      <c r="W28" s="128"/>
      <c r="X28" s="128"/>
      <c r="Y28" s="128"/>
      <c r="Z28" s="109"/>
      <c r="AA28" s="221"/>
      <c r="AB28" s="222"/>
      <c r="AC28" s="222"/>
      <c r="AD28" s="111"/>
      <c r="AE28" s="111"/>
      <c r="AF28" s="111"/>
      <c r="AG28" s="125"/>
      <c r="AH28" s="125"/>
      <c r="AI28" s="125"/>
    </row>
    <row r="29" spans="2:35" x14ac:dyDescent="0.25">
      <c r="B29" s="38" t="s">
        <v>36</v>
      </c>
      <c r="C29" s="165" t="s">
        <v>16</v>
      </c>
      <c r="D29" s="166"/>
      <c r="E29" s="166"/>
      <c r="F29" s="166"/>
      <c r="G29" s="166"/>
      <c r="H29" s="166"/>
      <c r="I29" s="166"/>
      <c r="J29" s="167"/>
      <c r="K29" s="9"/>
      <c r="L29" s="30"/>
      <c r="M29" s="41"/>
      <c r="N29" s="41"/>
      <c r="O29" s="25"/>
      <c r="P29" s="49" t="str">
        <f>IF(L30=" "," ","2 комплекта")</f>
        <v>2 комплекта</v>
      </c>
      <c r="Q29" s="25"/>
      <c r="R29" s="130"/>
      <c r="S29" s="128"/>
      <c r="T29" s="128"/>
      <c r="U29" s="35"/>
      <c r="V29" s="128"/>
      <c r="W29" s="128"/>
      <c r="X29" s="128"/>
      <c r="Y29" s="128"/>
      <c r="Z29" s="109"/>
      <c r="AA29" s="113"/>
      <c r="AB29" s="116"/>
      <c r="AC29" s="116"/>
      <c r="AD29" s="111"/>
      <c r="AE29" s="122"/>
      <c r="AF29" s="111"/>
      <c r="AG29" s="125"/>
      <c r="AH29" s="125"/>
      <c r="AI29" s="125"/>
    </row>
    <row r="30" spans="2:35" x14ac:dyDescent="0.25">
      <c r="B30" s="38" t="s">
        <v>50</v>
      </c>
      <c r="C30" s="165" t="s">
        <v>16</v>
      </c>
      <c r="D30" s="166"/>
      <c r="E30" s="166"/>
      <c r="F30" s="166"/>
      <c r="G30" s="166"/>
      <c r="H30" s="166"/>
      <c r="I30" s="166"/>
      <c r="J30" s="167"/>
      <c r="K30" s="36"/>
      <c r="L30" s="191" t="str">
        <f>IF(C30="Да",L28," ")</f>
        <v>1000/5</v>
      </c>
      <c r="M30" s="183"/>
      <c r="N30" s="192"/>
      <c r="O30" s="25"/>
      <c r="P30" s="25"/>
      <c r="Q30" s="25"/>
      <c r="R30" s="130"/>
      <c r="S30" s="128"/>
      <c r="T30" s="128"/>
      <c r="U30" s="35"/>
      <c r="V30" s="128"/>
      <c r="W30" s="128"/>
      <c r="X30" s="128"/>
      <c r="Y30" s="128"/>
      <c r="Z30" s="115"/>
      <c r="AA30" s="221"/>
      <c r="AB30" s="222"/>
      <c r="AC30" s="222"/>
      <c r="AD30" s="111"/>
      <c r="AE30" s="111"/>
      <c r="AF30" s="111"/>
      <c r="AG30" s="125"/>
      <c r="AH30" s="125"/>
      <c r="AI30" s="125"/>
    </row>
    <row r="31" spans="2:35" x14ac:dyDescent="0.25">
      <c r="B31" s="38" t="s">
        <v>37</v>
      </c>
      <c r="C31" s="165" t="s">
        <v>207</v>
      </c>
      <c r="D31" s="166"/>
      <c r="E31" s="166"/>
      <c r="F31" s="166"/>
      <c r="G31" s="166"/>
      <c r="H31" s="166"/>
      <c r="I31" s="166"/>
      <c r="J31" s="167"/>
      <c r="K31" s="36"/>
      <c r="L31" s="64"/>
      <c r="M31" s="41"/>
      <c r="N31" s="41"/>
      <c r="O31" s="25"/>
      <c r="P31" s="25"/>
      <c r="Q31" s="25"/>
      <c r="R31" s="130"/>
      <c r="S31" s="128"/>
      <c r="T31" s="128"/>
      <c r="U31" s="35"/>
      <c r="V31" s="128"/>
      <c r="W31" s="128"/>
      <c r="X31" s="128"/>
      <c r="Y31" s="128"/>
      <c r="Z31" s="115"/>
      <c r="AA31" s="120"/>
      <c r="AB31" s="116"/>
      <c r="AC31" s="116"/>
      <c r="AD31" s="111"/>
      <c r="AE31" s="111"/>
      <c r="AF31" s="111"/>
      <c r="AG31" s="125"/>
      <c r="AH31" s="125"/>
      <c r="AI31" s="125"/>
    </row>
    <row r="32" spans="2:35" x14ac:dyDescent="0.25">
      <c r="B32" s="54" t="s">
        <v>60</v>
      </c>
      <c r="C32" s="159" t="s">
        <v>66</v>
      </c>
      <c r="D32" s="160"/>
      <c r="E32" s="160"/>
      <c r="F32" s="160"/>
      <c r="G32" s="160"/>
      <c r="H32" s="160"/>
      <c r="I32" s="160"/>
      <c r="J32" s="161"/>
      <c r="K32" s="36"/>
      <c r="L32" s="64"/>
      <c r="M32" s="41"/>
      <c r="N32" s="41"/>
      <c r="O32" s="25"/>
      <c r="P32" s="25"/>
      <c r="Q32" s="25"/>
      <c r="R32" s="130"/>
      <c r="S32" s="128"/>
      <c r="T32" s="128"/>
      <c r="U32" s="35"/>
      <c r="V32" s="128"/>
      <c r="W32" s="128"/>
      <c r="X32" s="128"/>
      <c r="Y32" s="128"/>
      <c r="Z32" s="115"/>
      <c r="AA32" s="120"/>
      <c r="AB32" s="116"/>
      <c r="AC32" s="116"/>
      <c r="AD32" s="111"/>
      <c r="AE32" s="111"/>
      <c r="AF32" s="111"/>
      <c r="AG32" s="125"/>
      <c r="AH32" s="125"/>
      <c r="AI32" s="125"/>
    </row>
    <row r="33" spans="2:35" x14ac:dyDescent="0.25">
      <c r="B33" s="55" t="s">
        <v>61</v>
      </c>
      <c r="C33" s="228" t="s">
        <v>218</v>
      </c>
      <c r="D33" s="229"/>
      <c r="E33" s="229"/>
      <c r="F33" s="229"/>
      <c r="G33" s="229"/>
      <c r="H33" s="229"/>
      <c r="I33" s="229"/>
      <c r="J33" s="230"/>
      <c r="K33" s="36"/>
      <c r="L33" s="217" t="str">
        <f>IF(C33="Другой","впишите название ",IF(OR(C33="CE 308 C36.746.OPR1.QYDUVFZ BPL03 SPDS",C33="М 234 ARTM2-02 (D)POBR.R",C33="РИМ 489.24ВК.2G ",C33="РИМ 489.24ВК.O "),"(счетчик прямого включения)"," "))</f>
        <v xml:space="preserve"> </v>
      </c>
      <c r="M33" s="217"/>
      <c r="N33" s="217"/>
      <c r="O33" s="217"/>
      <c r="P33" s="217"/>
      <c r="Q33" s="217"/>
      <c r="R33" s="217"/>
      <c r="S33" s="217"/>
      <c r="T33" s="217"/>
      <c r="U33" s="35"/>
      <c r="V33" s="133"/>
      <c r="W33" s="133"/>
      <c r="X33" s="133"/>
      <c r="Y33" s="133"/>
      <c r="Z33" s="115"/>
      <c r="AA33" s="120"/>
      <c r="AB33" s="116"/>
      <c r="AC33" s="116"/>
      <c r="AD33" s="111"/>
      <c r="AE33" s="111"/>
      <c r="AF33" s="111"/>
      <c r="AG33" s="125"/>
      <c r="AH33" s="125"/>
      <c r="AI33" s="125"/>
    </row>
    <row r="34" spans="2:35" x14ac:dyDescent="0.25">
      <c r="B34" s="46" t="s">
        <v>71</v>
      </c>
      <c r="C34" s="165" t="s">
        <v>141</v>
      </c>
      <c r="D34" s="166"/>
      <c r="E34" s="166"/>
      <c r="F34" s="166"/>
      <c r="G34" s="166"/>
      <c r="H34" s="166"/>
      <c r="I34" s="166"/>
      <c r="J34" s="167"/>
      <c r="K34" s="36"/>
      <c r="L34" s="64"/>
      <c r="M34" s="41"/>
      <c r="N34" s="41"/>
      <c r="O34" s="25"/>
      <c r="P34" s="25"/>
      <c r="Q34" s="25"/>
      <c r="R34" s="123"/>
      <c r="S34" s="124"/>
      <c r="T34" s="124"/>
      <c r="U34" s="35"/>
      <c r="V34" s="124"/>
      <c r="W34" s="124"/>
      <c r="X34" s="124"/>
      <c r="Y34" s="124"/>
      <c r="Z34" s="115"/>
      <c r="AA34" s="120"/>
      <c r="AB34" s="116"/>
      <c r="AC34" s="116"/>
      <c r="AD34" s="111"/>
      <c r="AE34" s="111"/>
      <c r="AF34" s="111"/>
      <c r="AG34" s="125"/>
      <c r="AH34" s="125"/>
      <c r="AI34" s="125"/>
    </row>
    <row r="35" spans="2:35" x14ac:dyDescent="0.25">
      <c r="B35" s="46" t="s">
        <v>280</v>
      </c>
      <c r="C35" s="162" t="s">
        <v>282</v>
      </c>
      <c r="D35" s="163"/>
      <c r="E35" s="163"/>
      <c r="F35" s="163"/>
      <c r="G35" s="163"/>
      <c r="H35" s="163"/>
      <c r="I35" s="163"/>
      <c r="J35" s="164"/>
      <c r="K35" s="36"/>
      <c r="L35" s="64"/>
      <c r="M35" s="41"/>
      <c r="N35" s="41"/>
      <c r="O35" s="25"/>
      <c r="P35" s="25"/>
      <c r="Q35" s="25"/>
      <c r="R35" s="123"/>
      <c r="S35" s="124"/>
      <c r="T35" s="124"/>
      <c r="U35" s="35"/>
      <c r="V35" s="124"/>
      <c r="W35" s="124"/>
      <c r="X35" s="124"/>
      <c r="Y35" s="124"/>
      <c r="Z35" s="115"/>
      <c r="AA35" s="120"/>
      <c r="AB35" s="116"/>
      <c r="AC35" s="116"/>
      <c r="AD35" s="111"/>
      <c r="AE35" s="111"/>
      <c r="AF35" s="111"/>
      <c r="AG35" s="125"/>
      <c r="AH35" s="125"/>
      <c r="AI35" s="125"/>
    </row>
    <row r="36" spans="2:35" x14ac:dyDescent="0.25">
      <c r="B36" s="54" t="s">
        <v>59</v>
      </c>
      <c r="C36" s="159" t="s">
        <v>19</v>
      </c>
      <c r="D36" s="160"/>
      <c r="E36" s="160"/>
      <c r="F36" s="160"/>
      <c r="G36" s="160"/>
      <c r="H36" s="160"/>
      <c r="I36" s="160"/>
      <c r="J36" s="161"/>
      <c r="K36" s="36"/>
      <c r="L36" s="64"/>
      <c r="M36" s="41"/>
      <c r="N36" s="41"/>
      <c r="O36" s="25"/>
      <c r="P36" s="25"/>
      <c r="Q36" s="25"/>
      <c r="R36" s="123"/>
      <c r="S36" s="124"/>
      <c r="T36" s="124"/>
      <c r="U36" s="35"/>
      <c r="V36" s="124"/>
      <c r="W36" s="124"/>
      <c r="X36" s="124"/>
      <c r="Y36" s="124"/>
      <c r="Z36" s="115"/>
      <c r="AA36" s="120"/>
      <c r="AB36" s="116"/>
      <c r="AC36" s="116"/>
      <c r="AD36" s="111"/>
      <c r="AE36" s="111"/>
      <c r="AF36" s="111"/>
    </row>
    <row r="37" spans="2:35" x14ac:dyDescent="0.25">
      <c r="B37" s="56" t="s">
        <v>70</v>
      </c>
      <c r="C37" s="156" t="s">
        <v>19</v>
      </c>
      <c r="D37" s="157"/>
      <c r="E37" s="157"/>
      <c r="F37" s="157"/>
      <c r="G37" s="157"/>
      <c r="H37" s="157"/>
      <c r="I37" s="157"/>
      <c r="J37" s="158"/>
      <c r="K37" s="36"/>
      <c r="L37" s="64"/>
      <c r="M37" s="41"/>
      <c r="N37" s="41"/>
      <c r="O37" s="25"/>
      <c r="P37" s="25"/>
      <c r="Q37" s="25"/>
      <c r="R37" s="123"/>
      <c r="S37" s="124"/>
      <c r="T37" s="124"/>
      <c r="U37" s="35"/>
      <c r="V37" s="124"/>
      <c r="W37" s="124"/>
      <c r="X37" s="124"/>
      <c r="Y37" s="124"/>
      <c r="Z37" s="115"/>
      <c r="AA37" s="120"/>
      <c r="AB37" s="116"/>
      <c r="AC37" s="116"/>
      <c r="AD37" s="111"/>
      <c r="AE37" s="111"/>
      <c r="AF37" s="111"/>
    </row>
    <row r="38" spans="2:35" x14ac:dyDescent="0.25">
      <c r="B38" s="50"/>
      <c r="C38" s="36"/>
      <c r="D38" s="36"/>
      <c r="E38" s="36"/>
      <c r="F38" s="36"/>
      <c r="G38" s="36"/>
      <c r="H38" s="36"/>
      <c r="I38" s="36"/>
      <c r="J38" s="36"/>
      <c r="K38" s="36"/>
      <c r="L38" s="25"/>
      <c r="M38" s="25"/>
      <c r="N38" s="25"/>
      <c r="O38" s="25"/>
      <c r="P38" s="25"/>
      <c r="Q38" s="25"/>
      <c r="R38" s="115"/>
      <c r="S38" s="115"/>
      <c r="T38" s="115"/>
      <c r="U38" s="35"/>
      <c r="V38" s="115"/>
      <c r="W38" s="115"/>
      <c r="X38" s="115"/>
      <c r="Y38" s="115"/>
      <c r="Z38" s="115"/>
      <c r="AA38" s="111"/>
      <c r="AB38" s="111"/>
      <c r="AC38" s="111"/>
      <c r="AD38" s="111"/>
      <c r="AE38" s="111"/>
      <c r="AF38" s="111"/>
    </row>
    <row r="39" spans="2:35" x14ac:dyDescent="0.25">
      <c r="B39" s="37" t="s">
        <v>229</v>
      </c>
      <c r="C39" s="9"/>
      <c r="D39" s="9"/>
      <c r="E39" s="9"/>
      <c r="F39" s="9"/>
      <c r="G39" s="9"/>
      <c r="H39" s="36"/>
      <c r="I39" s="36"/>
      <c r="J39" s="36"/>
      <c r="K39" s="36"/>
      <c r="L39" s="25"/>
      <c r="M39" s="25"/>
      <c r="N39" s="25"/>
      <c r="O39" s="25"/>
      <c r="P39" s="25"/>
      <c r="Q39" s="25"/>
      <c r="R39" s="109"/>
      <c r="S39" s="109"/>
      <c r="T39" s="109"/>
      <c r="U39" s="35"/>
      <c r="V39" s="109"/>
      <c r="W39" s="115"/>
      <c r="X39" s="115"/>
      <c r="Y39" s="115"/>
      <c r="Z39" s="115"/>
      <c r="AA39" s="111"/>
      <c r="AB39" s="111"/>
      <c r="AC39" s="111"/>
      <c r="AD39" s="111"/>
      <c r="AE39" s="111"/>
      <c r="AF39" s="111"/>
    </row>
    <row r="40" spans="2:35" ht="16.149999999999999" customHeight="1" x14ac:dyDescent="0.25">
      <c r="B40" s="101" t="s">
        <v>230</v>
      </c>
      <c r="C40" s="226">
        <v>220</v>
      </c>
      <c r="D40" s="227"/>
      <c r="E40" s="227"/>
      <c r="F40" s="227"/>
      <c r="G40" s="227"/>
      <c r="H40" s="227"/>
      <c r="I40" s="227"/>
      <c r="J40" s="227"/>
      <c r="K40" s="36"/>
      <c r="L40" s="41"/>
      <c r="M40" s="25"/>
      <c r="N40" s="25"/>
      <c r="O40" s="25"/>
      <c r="P40" s="25"/>
      <c r="Q40" s="25"/>
      <c r="R40" s="109"/>
      <c r="S40" s="109"/>
      <c r="T40" s="109"/>
      <c r="U40" s="35"/>
      <c r="V40" s="109"/>
      <c r="W40" s="115"/>
      <c r="X40" s="115"/>
      <c r="Y40" s="115"/>
      <c r="Z40" s="115"/>
      <c r="AA40" s="116"/>
      <c r="AB40" s="111"/>
      <c r="AC40" s="111"/>
      <c r="AD40" s="111"/>
      <c r="AE40" s="111"/>
      <c r="AF40" s="111"/>
    </row>
    <row r="41" spans="2:35" x14ac:dyDescent="0.25">
      <c r="B41" s="50"/>
      <c r="C41" s="36"/>
      <c r="D41" s="36"/>
      <c r="E41" s="36"/>
      <c r="F41" s="36"/>
      <c r="G41" s="36"/>
      <c r="H41" s="36"/>
      <c r="I41" s="36"/>
      <c r="J41" s="36"/>
      <c r="K41" s="36"/>
      <c r="L41" s="25"/>
      <c r="M41" s="25"/>
      <c r="N41" s="25"/>
      <c r="O41" s="25"/>
      <c r="P41" s="25"/>
      <c r="Q41" s="25"/>
      <c r="R41" s="115"/>
      <c r="S41" s="115"/>
      <c r="T41" s="115"/>
      <c r="U41" s="35"/>
      <c r="V41" s="115"/>
      <c r="W41" s="115"/>
      <c r="X41" s="115"/>
      <c r="Y41" s="115"/>
      <c r="Z41" s="115"/>
      <c r="AA41" s="111"/>
      <c r="AB41" s="111"/>
      <c r="AC41" s="111"/>
      <c r="AD41" s="111"/>
      <c r="AE41" s="111"/>
      <c r="AF41" s="111"/>
    </row>
    <row r="42" spans="2:35" ht="15" customHeight="1" x14ac:dyDescent="0.25">
      <c r="B42" s="37" t="s">
        <v>257</v>
      </c>
      <c r="C42" s="75" t="str">
        <f ca="1">IFERROR(IF(MATCH(C44,INDIRECT($C$43),0)&gt;=0," "," "),"О")</f>
        <v xml:space="preserve"> </v>
      </c>
      <c r="D42" s="75" t="str">
        <f ca="1">IFERROR(IF(MATCH(D44,INDIRECT($D$43),0)&gt;=0," "," "),"О")</f>
        <v xml:space="preserve"> </v>
      </c>
      <c r="E42" s="75" t="str">
        <f ca="1">IFERROR(IF(MATCH(E44,INDIRECT($E$43),0)&gt;=0," "," "),"О")</f>
        <v xml:space="preserve"> </v>
      </c>
      <c r="F42" s="75" t="str">
        <f ca="1">IFERROR(IF(MATCH(F44,INDIRECT($F$43),0)&gt;=0," "," "),"О")</f>
        <v xml:space="preserve"> </v>
      </c>
      <c r="G42" s="75" t="str">
        <f ca="1">IFERROR(IF(MATCH(G44,INDIRECT($G$43),0)&gt;=0," "," "),"О")</f>
        <v xml:space="preserve"> </v>
      </c>
      <c r="H42" s="75" t="str">
        <f ca="1">IFERROR(IF(MATCH(H44,INDIRECT($H$43),0)&gt;=0," "," "),"О")</f>
        <v xml:space="preserve"> </v>
      </c>
      <c r="I42" s="75" t="str">
        <f ca="1">IFERROR(IF(MATCH(I44,INDIRECT($I$43),0)&gt;=0," "," "),"О")</f>
        <v xml:space="preserve"> </v>
      </c>
      <c r="J42" s="75" t="str">
        <f ca="1">IFERROR(IF(MATCH(J44,INDIRECT($J$43),0)&gt;=0," "," "),"О")</f>
        <v xml:space="preserve"> </v>
      </c>
      <c r="K42" s="75" t="str">
        <f ca="1">IFERROR(IF(MATCH(K44,INDIRECT($K$43),0)&gt;=0," "," "),"О")</f>
        <v xml:space="preserve"> </v>
      </c>
      <c r="L42" s="75" t="str">
        <f ca="1">IFERROR(IF(MATCH(L44,INDIRECT($L$43),0)&gt;=0," "," "),"О")</f>
        <v xml:space="preserve"> </v>
      </c>
      <c r="M42" s="75" t="str">
        <f ca="1">IFERROR(IF(MATCH(M44,INDIRECT($M$43),0)&gt;=0," "," "),"О")</f>
        <v xml:space="preserve"> </v>
      </c>
      <c r="N42" s="75" t="str">
        <f ca="1">IFERROR(IF(MATCH(N44,INDIRECT($N$43),0)&gt;=0," "," "),"О")</f>
        <v xml:space="preserve"> </v>
      </c>
      <c r="O42" s="1"/>
      <c r="P42" s="1"/>
      <c r="Q42" s="1"/>
      <c r="R42" s="125"/>
      <c r="S42" s="125"/>
      <c r="T42" s="125"/>
      <c r="U42" s="3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</row>
    <row r="43" spans="2:35" ht="57" customHeight="1" x14ac:dyDescent="0.25">
      <c r="B43" s="51" t="s">
        <v>42</v>
      </c>
      <c r="C43" s="74" t="s">
        <v>277</v>
      </c>
      <c r="D43" s="74" t="s">
        <v>277</v>
      </c>
      <c r="E43" s="74" t="s">
        <v>277</v>
      </c>
      <c r="F43" s="74" t="s">
        <v>277</v>
      </c>
      <c r="G43" s="74" t="s">
        <v>277</v>
      </c>
      <c r="H43" s="74" t="s">
        <v>277</v>
      </c>
      <c r="I43" s="74" t="s">
        <v>19</v>
      </c>
      <c r="J43" s="74" t="s">
        <v>19</v>
      </c>
      <c r="K43" s="74" t="s">
        <v>19</v>
      </c>
      <c r="L43" s="74" t="s">
        <v>19</v>
      </c>
      <c r="M43" s="74" t="s">
        <v>19</v>
      </c>
      <c r="N43" s="74" t="s">
        <v>19</v>
      </c>
      <c r="O43" s="1"/>
      <c r="P43" s="1"/>
      <c r="Q43" s="1"/>
      <c r="R43" s="125"/>
      <c r="S43" s="125"/>
      <c r="T43" s="125"/>
      <c r="U43" s="3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</row>
    <row r="44" spans="2:35" x14ac:dyDescent="0.25">
      <c r="B44" s="46" t="s">
        <v>29</v>
      </c>
      <c r="C44" s="31">
        <v>400</v>
      </c>
      <c r="D44" s="31">
        <v>400</v>
      </c>
      <c r="E44" s="31">
        <v>400</v>
      </c>
      <c r="F44" s="31">
        <v>400</v>
      </c>
      <c r="G44" s="31">
        <v>400</v>
      </c>
      <c r="H44" s="31">
        <v>400</v>
      </c>
      <c r="I44" s="31" t="s">
        <v>167</v>
      </c>
      <c r="J44" s="31" t="s">
        <v>167</v>
      </c>
      <c r="K44" s="31" t="s">
        <v>167</v>
      </c>
      <c r="L44" s="31" t="s">
        <v>167</v>
      </c>
      <c r="M44" s="31" t="s">
        <v>167</v>
      </c>
      <c r="N44" s="31" t="s">
        <v>167</v>
      </c>
      <c r="O44" s="1"/>
      <c r="P44" s="1"/>
      <c r="Q44" s="1"/>
      <c r="R44" s="1"/>
      <c r="S44" s="1"/>
      <c r="T44" s="1"/>
      <c r="U44" s="35"/>
    </row>
    <row r="45" spans="2:35" x14ac:dyDescent="0.25">
      <c r="B45" s="52" t="s">
        <v>43</v>
      </c>
      <c r="C45" s="31">
        <v>1</v>
      </c>
      <c r="D45" s="32">
        <v>1</v>
      </c>
      <c r="E45" s="32">
        <v>1</v>
      </c>
      <c r="F45" s="32">
        <v>1</v>
      </c>
      <c r="G45" s="32">
        <v>1</v>
      </c>
      <c r="H45" s="32">
        <v>1</v>
      </c>
      <c r="I45" s="32"/>
      <c r="J45" s="32"/>
      <c r="K45" s="32"/>
      <c r="L45" s="32"/>
      <c r="M45" s="32"/>
      <c r="N45" s="32"/>
      <c r="O45" s="1"/>
      <c r="P45" s="1"/>
      <c r="Q45" s="1"/>
      <c r="R45" s="1"/>
      <c r="S45" s="1"/>
      <c r="T45" s="1"/>
      <c r="U45" s="35"/>
    </row>
    <row r="46" spans="2:35" x14ac:dyDescent="0.25">
      <c r="B46" s="46" t="s">
        <v>44</v>
      </c>
      <c r="C46" s="220">
        <f>SUM(C45:N45)</f>
        <v>6</v>
      </c>
      <c r="D46" s="180"/>
      <c r="E46" s="180"/>
      <c r="F46" s="180"/>
      <c r="G46" s="180"/>
      <c r="H46" s="180"/>
      <c r="I46" s="180"/>
      <c r="J46" s="53" t="str">
        <f>"! Не более "&amp;Списки!C103&amp;"шт ВА04-36"</f>
        <v>! Не более 12шт ВА04-36</v>
      </c>
      <c r="K46" s="36"/>
      <c r="L46" s="25"/>
      <c r="M46" s="25"/>
      <c r="N46" s="25"/>
      <c r="O46" s="1"/>
      <c r="P46" s="1"/>
      <c r="Q46" s="1"/>
      <c r="R46" s="1"/>
      <c r="S46" s="1"/>
      <c r="T46" s="1"/>
      <c r="U46" s="35"/>
    </row>
    <row r="47" spans="2:35" x14ac:dyDescent="0.25">
      <c r="B47" s="46" t="s">
        <v>52</v>
      </c>
      <c r="C47" s="33" t="s">
        <v>84</v>
      </c>
      <c r="D47" s="33" t="s">
        <v>84</v>
      </c>
      <c r="E47" s="33" t="s">
        <v>84</v>
      </c>
      <c r="F47" s="33" t="s">
        <v>84</v>
      </c>
      <c r="G47" s="33" t="s">
        <v>84</v>
      </c>
      <c r="H47" s="33"/>
      <c r="I47" s="33"/>
      <c r="J47" s="33"/>
      <c r="K47" s="33"/>
      <c r="L47" s="33"/>
      <c r="M47" s="33"/>
      <c r="N47" s="33"/>
      <c r="O47" s="1"/>
      <c r="P47" s="1"/>
      <c r="Q47" s="1"/>
      <c r="R47" s="1"/>
      <c r="S47" s="1"/>
      <c r="T47" s="1"/>
      <c r="U47" s="35"/>
    </row>
    <row r="48" spans="2:35" ht="114" customHeight="1" x14ac:dyDescent="0.25">
      <c r="B48" s="46" t="s">
        <v>186</v>
      </c>
      <c r="C48" s="77" t="s">
        <v>225</v>
      </c>
      <c r="D48" s="77" t="s">
        <v>227</v>
      </c>
      <c r="E48" s="77" t="s">
        <v>225</v>
      </c>
      <c r="F48" s="77" t="s">
        <v>225</v>
      </c>
      <c r="G48" s="77" t="s">
        <v>225</v>
      </c>
      <c r="H48" s="77"/>
      <c r="I48" s="77"/>
      <c r="J48" s="77"/>
      <c r="K48" s="77"/>
      <c r="L48" s="77"/>
      <c r="M48" s="77"/>
      <c r="N48" s="77"/>
      <c r="O48" s="1"/>
      <c r="P48" s="1"/>
      <c r="Q48" s="1"/>
      <c r="R48" s="1"/>
      <c r="S48" s="1"/>
      <c r="T48" s="1"/>
      <c r="U48" s="35"/>
    </row>
    <row r="49" spans="2:21" x14ac:dyDescent="0.25">
      <c r="B49" s="50"/>
      <c r="C49" s="78" t="s">
        <v>189</v>
      </c>
      <c r="D49" s="36"/>
      <c r="E49" s="36"/>
      <c r="F49" s="36"/>
      <c r="G49" s="36"/>
      <c r="H49" s="36"/>
      <c r="I49" s="36"/>
      <c r="J49" s="36"/>
      <c r="K49" s="36"/>
      <c r="L49" s="25"/>
      <c r="M49" s="25"/>
      <c r="N49" s="25"/>
      <c r="O49" s="25"/>
      <c r="P49" s="25"/>
      <c r="Q49" s="25"/>
      <c r="R49" s="25"/>
      <c r="S49" s="25"/>
      <c r="T49" s="25"/>
      <c r="U49" s="35"/>
    </row>
    <row r="50" spans="2:21" x14ac:dyDescent="0.25">
      <c r="B50" s="37" t="s">
        <v>259</v>
      </c>
      <c r="C50" s="36"/>
      <c r="D50" s="36" t="s">
        <v>283</v>
      </c>
      <c r="E50" s="36"/>
      <c r="F50" s="36"/>
      <c r="G50" s="36" t="s">
        <v>285</v>
      </c>
      <c r="H50" s="36"/>
      <c r="I50" s="36"/>
      <c r="J50" s="36" t="s">
        <v>284</v>
      </c>
      <c r="K50" s="36"/>
      <c r="L50" s="25"/>
      <c r="M50" s="25"/>
      <c r="N50" s="25"/>
      <c r="O50" s="25"/>
      <c r="P50" s="25"/>
      <c r="Q50" s="25"/>
      <c r="R50" s="25"/>
      <c r="S50" s="25"/>
      <c r="T50" s="25"/>
      <c r="U50" s="35"/>
    </row>
    <row r="51" spans="2:21" x14ac:dyDescent="0.25">
      <c r="B51" s="48" t="s">
        <v>31</v>
      </c>
      <c r="C51" s="155" t="s">
        <v>28</v>
      </c>
      <c r="D51" s="155"/>
      <c r="E51" s="155"/>
      <c r="F51" s="155" t="s">
        <v>154</v>
      </c>
      <c r="G51" s="155"/>
      <c r="H51" s="155"/>
      <c r="I51" s="155" t="s">
        <v>28</v>
      </c>
      <c r="J51" s="155"/>
      <c r="K51" s="155"/>
      <c r="L51" s="25"/>
      <c r="M51" s="25"/>
      <c r="N51" s="25"/>
      <c r="O51" s="25"/>
      <c r="P51" s="25"/>
      <c r="Q51" s="25"/>
      <c r="R51" s="25"/>
      <c r="S51" s="25"/>
      <c r="T51" s="25"/>
      <c r="U51" s="35"/>
    </row>
    <row r="52" spans="2:21" x14ac:dyDescent="0.25">
      <c r="B52" s="45" t="s">
        <v>29</v>
      </c>
      <c r="C52" s="155">
        <f>IF(C51="РЕ 19-35",250,IF(C51="РЕ 19-37",400,IF(C51="РЕ 19-39",630,IF(C51="РЕ 19-41",1000,IF(C51="РЕ 19-43",1600," ")))))</f>
        <v>1000</v>
      </c>
      <c r="D52" s="155"/>
      <c r="E52" s="155"/>
      <c r="F52" s="155">
        <v>1000</v>
      </c>
      <c r="G52" s="155"/>
      <c r="H52" s="155"/>
      <c r="I52" s="155">
        <f>IF(I51="РЕ 19-35",250,IF(I51="РЕ 19-37",400,IF(I51="РЕ 19-39",630,IF(I51="РЕ 19-41",1000,IF(I51="РЕ 19-43",1600," ")))))</f>
        <v>1000</v>
      </c>
      <c r="J52" s="155"/>
      <c r="K52" s="155"/>
      <c r="L52" s="25"/>
      <c r="M52" s="25"/>
      <c r="N52" s="25"/>
      <c r="O52" s="25"/>
      <c r="P52" s="25"/>
      <c r="Q52" s="25"/>
      <c r="R52" s="25"/>
      <c r="S52" s="25"/>
      <c r="T52" s="25"/>
      <c r="U52" s="35"/>
    </row>
    <row r="53" spans="2:21" x14ac:dyDescent="0.25">
      <c r="B53" s="135"/>
      <c r="C53" s="36"/>
      <c r="D53" s="36"/>
      <c r="E53" s="36"/>
      <c r="F53" s="36"/>
      <c r="G53" s="36"/>
      <c r="H53" s="36"/>
      <c r="I53" s="36"/>
      <c r="J53" s="36"/>
      <c r="K53" s="36"/>
      <c r="L53" s="25"/>
      <c r="M53" s="25"/>
      <c r="N53" s="25"/>
      <c r="O53" s="25"/>
      <c r="P53" s="25"/>
      <c r="Q53" s="25"/>
      <c r="R53" s="25"/>
      <c r="S53" s="25"/>
      <c r="T53" s="25"/>
      <c r="U53" s="35"/>
    </row>
    <row r="54" spans="2:21" x14ac:dyDescent="0.25">
      <c r="B54" s="37" t="s">
        <v>258</v>
      </c>
      <c r="C54" s="75" t="str">
        <f ca="1">IFERROR(IF(MATCH(C56,INDIRECT(C$55),0)&gt;=0," "," "),"О")</f>
        <v xml:space="preserve"> </v>
      </c>
      <c r="D54" s="75" t="str">
        <f t="shared" ref="D54:N54" ca="1" si="0">IFERROR(IF(MATCH(D56,INDIRECT(D$55),0)&gt;=0," "," "),"О")</f>
        <v xml:space="preserve"> </v>
      </c>
      <c r="E54" s="75" t="str">
        <f t="shared" ca="1" si="0"/>
        <v xml:space="preserve"> </v>
      </c>
      <c r="F54" s="75" t="str">
        <f t="shared" ca="1" si="0"/>
        <v xml:space="preserve"> </v>
      </c>
      <c r="G54" s="75" t="str">
        <f t="shared" ca="1" si="0"/>
        <v xml:space="preserve"> </v>
      </c>
      <c r="H54" s="75" t="str">
        <f t="shared" ca="1" si="0"/>
        <v xml:space="preserve"> </v>
      </c>
      <c r="I54" s="75" t="str">
        <f t="shared" ca="1" si="0"/>
        <v xml:space="preserve"> </v>
      </c>
      <c r="J54" s="75" t="str">
        <f t="shared" ca="1" si="0"/>
        <v xml:space="preserve"> </v>
      </c>
      <c r="K54" s="75" t="str">
        <f t="shared" ca="1" si="0"/>
        <v xml:space="preserve"> </v>
      </c>
      <c r="L54" s="75" t="str">
        <f t="shared" ca="1" si="0"/>
        <v xml:space="preserve"> </v>
      </c>
      <c r="M54" s="75" t="str">
        <f t="shared" ca="1" si="0"/>
        <v xml:space="preserve"> </v>
      </c>
      <c r="N54" s="75" t="str">
        <f t="shared" ca="1" si="0"/>
        <v xml:space="preserve"> </v>
      </c>
      <c r="O54" s="25"/>
      <c r="P54" s="25"/>
      <c r="Q54" s="25"/>
      <c r="R54" s="25"/>
      <c r="S54" s="25"/>
      <c r="T54" s="25"/>
      <c r="U54" s="35"/>
    </row>
    <row r="55" spans="2:21" ht="57" customHeight="1" x14ac:dyDescent="0.25">
      <c r="B55" s="51" t="s">
        <v>42</v>
      </c>
      <c r="C55" s="74" t="s">
        <v>277</v>
      </c>
      <c r="D55" s="74" t="s">
        <v>277</v>
      </c>
      <c r="E55" s="74" t="s">
        <v>277</v>
      </c>
      <c r="F55" s="74" t="s">
        <v>277</v>
      </c>
      <c r="G55" s="74" t="s">
        <v>277</v>
      </c>
      <c r="H55" s="74" t="s">
        <v>277</v>
      </c>
      <c r="I55" s="74" t="s">
        <v>19</v>
      </c>
      <c r="J55" s="74" t="s">
        <v>19</v>
      </c>
      <c r="K55" s="74" t="s">
        <v>19</v>
      </c>
      <c r="L55" s="74" t="s">
        <v>19</v>
      </c>
      <c r="M55" s="74" t="s">
        <v>19</v>
      </c>
      <c r="N55" s="74" t="s">
        <v>19</v>
      </c>
      <c r="O55" s="1"/>
      <c r="P55" s="1"/>
      <c r="Q55" s="1"/>
      <c r="R55" s="1"/>
      <c r="S55" s="1"/>
      <c r="T55" s="1"/>
      <c r="U55" s="35"/>
    </row>
    <row r="56" spans="2:21" x14ac:dyDescent="0.25">
      <c r="B56" s="46" t="s">
        <v>29</v>
      </c>
      <c r="C56" s="31">
        <v>400</v>
      </c>
      <c r="D56" s="31">
        <v>400</v>
      </c>
      <c r="E56" s="31">
        <v>400</v>
      </c>
      <c r="F56" s="31">
        <v>400</v>
      </c>
      <c r="G56" s="31">
        <v>400</v>
      </c>
      <c r="H56" s="31">
        <v>400</v>
      </c>
      <c r="I56" s="31" t="s">
        <v>167</v>
      </c>
      <c r="J56" s="31" t="s">
        <v>167</v>
      </c>
      <c r="K56" s="31" t="s">
        <v>167</v>
      </c>
      <c r="L56" s="31" t="s">
        <v>167</v>
      </c>
      <c r="M56" s="31" t="s">
        <v>167</v>
      </c>
      <c r="N56" s="31" t="s">
        <v>167</v>
      </c>
      <c r="O56" s="1"/>
      <c r="P56" s="1"/>
      <c r="Q56" s="1"/>
      <c r="R56" s="1"/>
      <c r="S56" s="1"/>
      <c r="T56" s="1"/>
      <c r="U56" s="35"/>
    </row>
    <row r="57" spans="2:21" x14ac:dyDescent="0.25">
      <c r="B57" s="52" t="s">
        <v>43</v>
      </c>
      <c r="C57" s="31">
        <v>1</v>
      </c>
      <c r="D57" s="32">
        <v>1</v>
      </c>
      <c r="E57" s="32">
        <v>1</v>
      </c>
      <c r="F57" s="32">
        <v>1</v>
      </c>
      <c r="G57" s="32">
        <v>1</v>
      </c>
      <c r="H57" s="32">
        <v>1</v>
      </c>
      <c r="I57" s="32"/>
      <c r="J57" s="32"/>
      <c r="K57" s="32"/>
      <c r="L57" s="32"/>
      <c r="M57" s="32"/>
      <c r="N57" s="32"/>
      <c r="O57" s="1"/>
      <c r="P57" s="1"/>
      <c r="Q57" s="1"/>
      <c r="R57" s="1"/>
      <c r="S57" s="1"/>
      <c r="T57" s="1"/>
      <c r="U57" s="35"/>
    </row>
    <row r="58" spans="2:21" x14ac:dyDescent="0.25">
      <c r="B58" s="46" t="s">
        <v>44</v>
      </c>
      <c r="C58" s="220">
        <f>SUM(C57:N57)</f>
        <v>6</v>
      </c>
      <c r="D58" s="180"/>
      <c r="E58" s="180"/>
      <c r="F58" s="180"/>
      <c r="G58" s="180"/>
      <c r="H58" s="180"/>
      <c r="I58" s="180"/>
      <c r="J58" s="53" t="str">
        <f>"! Не более "&amp;Списки!R103&amp;"шт ВА04-36"</f>
        <v>! Не более шт ВА04-36</v>
      </c>
      <c r="K58" s="36"/>
      <c r="L58" s="25"/>
      <c r="M58" s="25"/>
      <c r="N58" s="25"/>
      <c r="O58" s="1"/>
      <c r="P58" s="1"/>
      <c r="Q58" s="1"/>
      <c r="R58" s="1"/>
      <c r="S58" s="1"/>
      <c r="T58" s="1"/>
      <c r="U58" s="35"/>
    </row>
    <row r="59" spans="2:21" x14ac:dyDescent="0.25">
      <c r="B59" s="46" t="s">
        <v>52</v>
      </c>
      <c r="C59" s="33" t="s">
        <v>84</v>
      </c>
      <c r="D59" s="33" t="s">
        <v>84</v>
      </c>
      <c r="E59" s="33" t="s">
        <v>84</v>
      </c>
      <c r="F59" s="33" t="s">
        <v>84</v>
      </c>
      <c r="G59" s="33" t="s">
        <v>84</v>
      </c>
      <c r="H59" s="33"/>
      <c r="I59" s="33"/>
      <c r="J59" s="33"/>
      <c r="K59" s="33"/>
      <c r="L59" s="33"/>
      <c r="M59" s="33"/>
      <c r="N59" s="33"/>
      <c r="O59" s="1"/>
      <c r="P59" s="1"/>
      <c r="Q59" s="1"/>
      <c r="R59" s="1"/>
      <c r="S59" s="1"/>
      <c r="T59" s="1"/>
      <c r="U59" s="35"/>
    </row>
    <row r="60" spans="2:21" ht="114" customHeight="1" x14ac:dyDescent="0.25">
      <c r="B60" s="46" t="s">
        <v>186</v>
      </c>
      <c r="C60" s="77" t="s">
        <v>225</v>
      </c>
      <c r="D60" s="77" t="s">
        <v>225</v>
      </c>
      <c r="E60" s="77" t="s">
        <v>225</v>
      </c>
      <c r="F60" s="77" t="s">
        <v>225</v>
      </c>
      <c r="G60" s="77" t="s">
        <v>225</v>
      </c>
      <c r="H60" s="77"/>
      <c r="I60" s="77"/>
      <c r="J60" s="77"/>
      <c r="K60" s="77"/>
      <c r="L60" s="77"/>
      <c r="M60" s="77"/>
      <c r="N60" s="77"/>
      <c r="O60" s="1"/>
      <c r="P60" s="1"/>
      <c r="Q60" s="1"/>
      <c r="R60" s="1"/>
      <c r="S60" s="1"/>
      <c r="T60" s="1"/>
      <c r="U60" s="35"/>
    </row>
    <row r="61" spans="2:21" x14ac:dyDescent="0.25">
      <c r="B61" s="25"/>
      <c r="C61" s="36"/>
      <c r="D61" s="36"/>
      <c r="E61" s="36"/>
      <c r="F61" s="36"/>
      <c r="G61" s="36"/>
      <c r="H61" s="36"/>
      <c r="I61" s="36"/>
      <c r="J61" s="36"/>
      <c r="K61" s="36"/>
      <c r="L61" s="25"/>
      <c r="M61" s="25"/>
      <c r="N61" s="25"/>
      <c r="O61" s="25"/>
      <c r="P61" s="25"/>
      <c r="Q61" s="25"/>
      <c r="R61" s="25"/>
      <c r="S61" s="25"/>
      <c r="T61" s="25"/>
      <c r="U61" s="35"/>
    </row>
    <row r="62" spans="2:21" x14ac:dyDescent="0.25">
      <c r="B62" s="50"/>
      <c r="C62" s="36"/>
      <c r="D62" s="36"/>
      <c r="E62" s="36"/>
      <c r="F62" s="36"/>
      <c r="G62" s="36"/>
      <c r="H62" s="36"/>
      <c r="I62" s="36"/>
      <c r="J62" s="36"/>
      <c r="K62" s="36"/>
      <c r="L62" s="25"/>
      <c r="M62" s="25"/>
      <c r="N62" s="25"/>
      <c r="O62" s="25"/>
      <c r="P62" s="25"/>
      <c r="Q62" s="25"/>
      <c r="R62" s="25"/>
      <c r="S62" s="25"/>
      <c r="T62" s="25"/>
      <c r="U62" s="35"/>
    </row>
    <row r="63" spans="2:21" x14ac:dyDescent="0.25">
      <c r="B63" s="173" t="s">
        <v>55</v>
      </c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5"/>
    </row>
    <row r="64" spans="2:21" x14ac:dyDescent="0.25">
      <c r="B64" s="176" t="str">
        <f>"Размеры основания подстанции: длина "&amp;Списки!C89&amp;" мм, ширина "&amp;Списки!E89&amp;" мм."</f>
        <v>Размеры основания подстанции: длина 3800 мм, ширина 4400 мм.</v>
      </c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8"/>
    </row>
    <row r="65" spans="1:21" x14ac:dyDescent="0.25">
      <c r="B65" s="179" t="s">
        <v>289</v>
      </c>
      <c r="C65" s="180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1"/>
    </row>
    <row r="66" spans="1:21" x14ac:dyDescent="0.25">
      <c r="B66" s="179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1"/>
    </row>
    <row r="67" spans="1:21" x14ac:dyDescent="0.25">
      <c r="B67" s="182"/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4"/>
    </row>
    <row r="68" spans="1:21" x14ac:dyDescent="0.25">
      <c r="B68" s="182"/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4"/>
    </row>
    <row r="69" spans="1:21" x14ac:dyDescent="0.25">
      <c r="B69" s="182"/>
      <c r="C69" s="183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3"/>
      <c r="S69" s="183"/>
      <c r="T69" s="183"/>
      <c r="U69" s="184"/>
    </row>
    <row r="70" spans="1:21" ht="15.75" thickBot="1" x14ac:dyDescent="0.3">
      <c r="A70" s="20"/>
      <c r="B70" s="57" t="s">
        <v>62</v>
      </c>
      <c r="C70" s="21" t="str">
        <f>Списки!A7&amp;"КТПК-"&amp;LEFT(C8,1)&amp;"-"&amp;LEFT(C15,1)&amp;LEFT(C16,1)&amp;"-"&amp;C10&amp;"/"&amp;C14&amp;"/0,4 "&amp;C17</f>
        <v>2КТПК-Т-КК-630/10/0,4 У1</v>
      </c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58"/>
    </row>
    <row r="71" spans="1:21" ht="21" thickBot="1" x14ac:dyDescent="0.35">
      <c r="B71" s="15" t="s">
        <v>54</v>
      </c>
      <c r="C71" s="185">
        <v>1</v>
      </c>
      <c r="D71" s="186"/>
      <c r="E71" s="186"/>
      <c r="F71" s="186"/>
      <c r="G71" s="186"/>
      <c r="H71" s="186"/>
      <c r="I71" s="186"/>
      <c r="J71" s="187"/>
      <c r="K71" s="36"/>
      <c r="L71" s="25"/>
      <c r="M71" s="25"/>
      <c r="N71" s="25"/>
      <c r="O71" s="25"/>
      <c r="P71" s="25"/>
      <c r="Q71" s="25"/>
      <c r="R71" s="25"/>
      <c r="S71" s="25"/>
      <c r="T71" s="25"/>
      <c r="U71" s="35"/>
    </row>
    <row r="72" spans="1:21" ht="11.25" customHeight="1" thickBot="1" x14ac:dyDescent="0.3">
      <c r="B72" s="50"/>
      <c r="C72" s="36"/>
      <c r="D72" s="36"/>
      <c r="E72" s="36"/>
      <c r="F72" s="36"/>
      <c r="G72" s="36"/>
      <c r="H72" s="36"/>
      <c r="I72" s="36"/>
      <c r="J72" s="36"/>
      <c r="K72" s="36"/>
      <c r="L72" s="25"/>
      <c r="M72" s="25"/>
      <c r="N72" s="25"/>
      <c r="O72" s="25"/>
      <c r="P72" s="25"/>
      <c r="Q72" s="25"/>
      <c r="R72" s="25"/>
      <c r="S72" s="25"/>
      <c r="T72" s="25"/>
      <c r="U72" s="35"/>
    </row>
    <row r="73" spans="1:21" ht="30" customHeight="1" thickBot="1" x14ac:dyDescent="0.3">
      <c r="B73" s="170" t="s">
        <v>296</v>
      </c>
      <c r="C73" s="171"/>
      <c r="D73" s="171"/>
      <c r="E73" s="171"/>
      <c r="F73" s="171"/>
      <c r="G73" s="171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1"/>
      <c r="U73" s="172"/>
    </row>
    <row r="75" spans="1:21" x14ac:dyDescent="0.25">
      <c r="B75" s="96"/>
    </row>
  </sheetData>
  <dataConsolidate/>
  <mergeCells count="61">
    <mergeCell ref="V24:Y27"/>
    <mergeCell ref="L33:T33"/>
    <mergeCell ref="AC10:AF11"/>
    <mergeCell ref="C58:I58"/>
    <mergeCell ref="AA28:AC28"/>
    <mergeCell ref="AA30:AC30"/>
    <mergeCell ref="N10:Q11"/>
    <mergeCell ref="C31:J31"/>
    <mergeCell ref="C30:J30"/>
    <mergeCell ref="C29:J29"/>
    <mergeCell ref="C14:J14"/>
    <mergeCell ref="C15:J15"/>
    <mergeCell ref="C19:J19"/>
    <mergeCell ref="C40:J40"/>
    <mergeCell ref="C46:I46"/>
    <mergeCell ref="C33:J33"/>
    <mergeCell ref="C1:U1"/>
    <mergeCell ref="C2:U2"/>
    <mergeCell ref="C3:U3"/>
    <mergeCell ref="B6:U6"/>
    <mergeCell ref="L28:N28"/>
    <mergeCell ref="C24:J24"/>
    <mergeCell ref="C13:J13"/>
    <mergeCell ref="C12:J12"/>
    <mergeCell ref="C20:J20"/>
    <mergeCell ref="C26:J26"/>
    <mergeCell ref="C16:J16"/>
    <mergeCell ref="C17:J17"/>
    <mergeCell ref="C18:J18"/>
    <mergeCell ref="C21:J21"/>
    <mergeCell ref="C25:J25"/>
    <mergeCell ref="Q8:R8"/>
    <mergeCell ref="O4:Q4"/>
    <mergeCell ref="B73:U73"/>
    <mergeCell ref="B63:U63"/>
    <mergeCell ref="B64:U64"/>
    <mergeCell ref="B66:U66"/>
    <mergeCell ref="B67:U67"/>
    <mergeCell ref="B69:U69"/>
    <mergeCell ref="B68:U68"/>
    <mergeCell ref="C71:J71"/>
    <mergeCell ref="B65:U65"/>
    <mergeCell ref="C7:J7"/>
    <mergeCell ref="C8:J8"/>
    <mergeCell ref="C9:J9"/>
    <mergeCell ref="C10:J10"/>
    <mergeCell ref="L30:N30"/>
    <mergeCell ref="C11:J11"/>
    <mergeCell ref="C27:J27"/>
    <mergeCell ref="C37:J37"/>
    <mergeCell ref="C36:J36"/>
    <mergeCell ref="C35:J35"/>
    <mergeCell ref="C34:J34"/>
    <mergeCell ref="C32:J32"/>
    <mergeCell ref="C28:J28"/>
    <mergeCell ref="C52:E52"/>
    <mergeCell ref="F51:H51"/>
    <mergeCell ref="F52:H52"/>
    <mergeCell ref="I51:K51"/>
    <mergeCell ref="I52:K52"/>
    <mergeCell ref="C51:E51"/>
  </mergeCells>
  <conditionalFormatting sqref="K27 C54:N54">
    <cfRule type="containsText" dxfId="7" priority="17" operator="containsText" text="О">
      <formula>NOT(ISERROR(SEARCH("О",C27)))</formula>
    </cfRule>
  </conditionalFormatting>
  <conditionalFormatting sqref="C27:J27">
    <cfRule type="containsText" dxfId="6" priority="16" operator="containsText" text="О">
      <formula>NOT(ISERROR(SEARCH("О",C27)))</formula>
    </cfRule>
  </conditionalFormatting>
  <conditionalFormatting sqref="C42:N42">
    <cfRule type="containsText" dxfId="5" priority="14" operator="containsText" text="О">
      <formula>NOT(ISERROR(SEARCH("О",C42)))</formula>
    </cfRule>
  </conditionalFormatting>
  <conditionalFormatting sqref="Z27">
    <cfRule type="containsText" dxfId="4" priority="7" operator="containsText" text="О">
      <formula>NOT(ISERROR(SEARCH("О",Z27)))</formula>
    </cfRule>
  </conditionalFormatting>
  <conditionalFormatting sqref="R27:T27">
    <cfRule type="containsText" dxfId="3" priority="6" operator="containsText" text="О">
      <formula>NOT(ISERROR(SEARCH("О",R27)))</formula>
    </cfRule>
  </conditionalFormatting>
  <conditionalFormatting sqref="C52">
    <cfRule type="containsText" dxfId="2" priority="4" operator="containsText" text="О">
      <formula>NOT(ISERROR(SEARCH("О",C52)))</formula>
    </cfRule>
  </conditionalFormatting>
  <conditionalFormatting sqref="L33:T33">
    <cfRule type="expression" dxfId="1" priority="2">
      <formula>$C$33="Другой"</formula>
    </cfRule>
  </conditionalFormatting>
  <conditionalFormatting sqref="Q8:R8">
    <cfRule type="expression" dxfId="0" priority="1">
      <formula>$C$8="Проходная"</formula>
    </cfRule>
  </conditionalFormatting>
  <dataValidations count="51">
    <dataValidation type="list" allowBlank="1" showInputMessage="1" showErrorMessage="1" sqref="C45:N45 C57:N57">
      <formula1>КолОЛ</formula1>
    </dataValidation>
    <dataValidation type="list" allowBlank="1" showInputMessage="1" showErrorMessage="1" sqref="C32 R32">
      <formula1>Типсчетчика</formula1>
    </dataValidation>
    <dataValidation type="list" allowBlank="1" showInputMessage="1" showErrorMessage="1" sqref="C15:C16 R15:R16">
      <formula1>ВоздухКабель</formula1>
    </dataValidation>
    <dataValidation type="list" allowBlank="1" showInputMessage="1" showErrorMessage="1" sqref="L28 C59:N59 AA28 C47:N47">
      <formula1>Тртока</formula1>
    </dataValidation>
    <dataValidation type="list" allowBlank="1" showInputMessage="1" showErrorMessage="1" sqref="C10 R10">
      <formula1>Мощность</formula1>
    </dataValidation>
    <dataValidation type="list" allowBlank="1" showInputMessage="1" showErrorMessage="1" sqref="C12:J12 R12:Y12">
      <formula1>Типтр</formula1>
    </dataValidation>
    <dataValidation type="list" allowBlank="1" showInputMessage="1" showErrorMessage="1" sqref="C13 R13">
      <formula1>Схематр</formula1>
    </dataValidation>
    <dataValidation type="list" allowBlank="1" showInputMessage="1" showErrorMessage="1" sqref="C14 R14">
      <formula1>Uном</formula1>
    </dataValidation>
    <dataValidation type="list" allowBlank="1" showInputMessage="1" showErrorMessage="1" sqref="R9">
      <formula1>Колтр</formula1>
    </dataValidation>
    <dataValidation type="list" allowBlank="1" showInputMessage="1" showErrorMessage="1" sqref="C8">
      <formula1>Тупиковая</formula1>
    </dataValidation>
    <dataValidation type="list" allowBlank="1" showInputMessage="1" showErrorMessage="1" sqref="C20 R20">
      <formula1>ВНАп</formula1>
    </dataValidation>
    <dataValidation type="list" allowBlank="1" showInputMessage="1" showErrorMessage="1" sqref="C31 R31 R34:R37">
      <formula1>ОПННН</formula1>
    </dataValidation>
    <dataValidation type="list" allowBlank="1" showInputMessage="1" showErrorMessage="1" sqref="R24 C24:J24 C51:E51 I51:K51">
      <formula1>разъединительввод</formula1>
    </dataValidation>
    <dataValidation type="list" allowBlank="1" showInputMessage="1" showErrorMessage="1" sqref="C29 R29">
      <formula1>Вольтметр</formula1>
    </dataValidation>
    <dataValidation type="list" allowBlank="1" showInputMessage="1" showErrorMessage="1" sqref="C30 R30">
      <formula1>Амперметры</formula1>
    </dataValidation>
    <dataValidation type="list" allowBlank="1" showInputMessage="1" showErrorMessage="1" sqref="C28 R28">
      <formula1>Тртокаввод</formula1>
    </dataValidation>
    <dataValidation type="list" allowBlank="1" showInputMessage="1" showErrorMessage="1" sqref="C17 R17">
      <formula1>Климат</formula1>
    </dataValidation>
    <dataValidation type="list" allowBlank="1" showInputMessage="1" showErrorMessage="1" sqref="C37">
      <formula1>Фотореле</formula1>
    </dataValidation>
    <dataValidation type="list" allowBlank="1" showInputMessage="1" showErrorMessage="1" sqref="C36">
      <formula1>Фидер</formula1>
    </dataValidation>
    <dataValidation type="list" allowBlank="1" showInputMessage="1" showErrorMessage="1" sqref="C34">
      <formula1>GSM</formula1>
    </dataValidation>
    <dataValidation type="list" allowBlank="1" showInputMessage="1" showErrorMessage="1" sqref="C11:J11 R11:Y11">
      <formula1>ВентТО</formula1>
    </dataValidation>
    <dataValidation type="list" allowBlank="1" showInputMessage="1" showErrorMessage="1" sqref="C21:J21 R21:Y21">
      <formula1>INDIRECT($K$21)</formula1>
    </dataValidation>
    <dataValidation type="list" allowBlank="1" showInputMessage="1" showErrorMessage="1" sqref="C19:J19 R19:Y19">
      <formula1>МГ</formula1>
    </dataValidation>
    <dataValidation type="list" allowBlank="1" showInputMessage="1" showErrorMessage="1" sqref="C26:J26 C43:N43 F51 C55:N55 R26:U26">
      <formula1>автоматы</formula1>
    </dataValidation>
    <dataValidation type="list" allowBlank="1" showInputMessage="1" showErrorMessage="1" sqref="C27:J27 R27:U27">
      <formula1>INDIRECT($C$26)</formula1>
    </dataValidation>
    <dataValidation type="list" allowBlank="1" showInputMessage="1" showErrorMessage="1" sqref="C44">
      <formula1>INDIRECT($C$43)</formula1>
    </dataValidation>
    <dataValidation type="list" allowBlank="1" showInputMessage="1" showErrorMessage="1" sqref="D44">
      <formula1>INDIRECT($D$43)</formula1>
    </dataValidation>
    <dataValidation type="list" allowBlank="1" showInputMessage="1" showErrorMessage="1" sqref="I44">
      <formula1>INDIRECT($I$43)</formula1>
    </dataValidation>
    <dataValidation type="list" allowBlank="1" showInputMessage="1" showErrorMessage="1" sqref="J44">
      <formula1>INDIRECT($J$43)</formula1>
    </dataValidation>
    <dataValidation type="list" allowBlank="1" showInputMessage="1" showErrorMessage="1" sqref="K44">
      <formula1>INDIRECT($K$43)</formula1>
    </dataValidation>
    <dataValidation type="list" allowBlank="1" showInputMessage="1" showErrorMessage="1" sqref="L44">
      <formula1>INDIRECT($L$43)</formula1>
    </dataValidation>
    <dataValidation type="list" allowBlank="1" showInputMessage="1" showErrorMessage="1" sqref="M44">
      <formula1>INDIRECT($M$43)</formula1>
    </dataValidation>
    <dataValidation type="list" allowBlank="1" showInputMessage="1" showErrorMessage="1" sqref="N44">
      <formula1>INDIRECT($N$43)</formula1>
    </dataValidation>
    <dataValidation type="list" allowBlank="1" showInputMessage="1" showErrorMessage="1" sqref="E44">
      <formula1>INDIRECT($E$43)</formula1>
    </dataValidation>
    <dataValidation type="list" allowBlank="1" showInputMessage="1" showErrorMessage="1" sqref="F44">
      <formula1>INDIRECT($F$43)</formula1>
    </dataValidation>
    <dataValidation type="list" allowBlank="1" showInputMessage="1" showErrorMessage="1" sqref="G44">
      <formula1>INDIRECT($G$43)</formula1>
    </dataValidation>
    <dataValidation type="list" allowBlank="1" showInputMessage="1" showErrorMessage="1" sqref="H44 H56">
      <formula1>INDIRECT($H$43)</formula1>
    </dataValidation>
    <dataValidation type="list" showInputMessage="1" showErrorMessage="1" sqref="C18:J18 R18:Y18">
      <formula1>INDIRECT($K$18)</formula1>
    </dataValidation>
    <dataValidation type="list" allowBlank="1" showInputMessage="1" showErrorMessage="1" sqref="C56">
      <formula1>INDIRECT($C$55)</formula1>
    </dataValidation>
    <dataValidation type="list" allowBlank="1" showInputMessage="1" showErrorMessage="1" sqref="D56">
      <formula1>INDIRECT($D$55)</formula1>
    </dataValidation>
    <dataValidation type="list" allowBlank="1" showInputMessage="1" showErrorMessage="1" sqref="E56">
      <formula1>INDIRECT($E$55)</formula1>
    </dataValidation>
    <dataValidation type="list" allowBlank="1" showInputMessage="1" showErrorMessage="1" sqref="F56">
      <formula1>INDIRECT($F$55)</formula1>
    </dataValidation>
    <dataValidation type="list" allowBlank="1" showInputMessage="1" showErrorMessage="1" sqref="G56">
      <formula1>INDIRECT($G$55)</formula1>
    </dataValidation>
    <dataValidation type="list" allowBlank="1" showInputMessage="1" showErrorMessage="1" sqref="I56">
      <formula1>INDIRECT($I$55)</formula1>
    </dataValidation>
    <dataValidation type="list" allowBlank="1" showInputMessage="1" showErrorMessage="1" sqref="J56">
      <formula1>INDIRECT($J$55)</formula1>
    </dataValidation>
    <dataValidation type="list" allowBlank="1" showInputMessage="1" showErrorMessage="1" sqref="K56">
      <formula1>INDIRECT($K$55)</formula1>
    </dataValidation>
    <dataValidation type="list" allowBlank="1" showInputMessage="1" showErrorMessage="1" sqref="L56">
      <formula1>INDIRECT($L$55)</formula1>
    </dataValidation>
    <dataValidation type="list" allowBlank="1" showInputMessage="1" showErrorMessage="1" sqref="M56">
      <formula1>INDIRECT($M$55)</formula1>
    </dataValidation>
    <dataValidation type="list" allowBlank="1" showInputMessage="1" showErrorMessage="1" sqref="N56">
      <formula1>INDIRECT($N$55)</formula1>
    </dataValidation>
    <dataValidation type="list" allowBlank="1" showInputMessage="1" showErrorMessage="1" sqref="F52:H52">
      <formula1>INDIRECT($F$51)</formula1>
    </dataValidation>
    <dataValidation type="list" showInputMessage="1" showErrorMessage="1" sqref="C60:N60">
      <formula1>$A$43:$A$74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Списки!$C$38:$F$38</xm:f>
          </x14:formula1>
          <xm:sqref>C40:J40 R40:X40</xm:sqref>
        </x14:dataValidation>
        <x14:dataValidation type="list" allowBlank="1" showInputMessage="1">
          <x14:formula1>
            <xm:f>'автоматы и токи'!$A$62:$A$93</xm:f>
          </x14:formula1>
          <xm:sqref>L33:T33</xm:sqref>
        </x14:dataValidation>
        <x14:dataValidation type="list" allowBlank="1" showInputMessage="1" showErrorMessage="1">
          <x14:formula1>
            <xm:f>'автоматы и токи'!$A$43:$A$76</xm:f>
          </x14:formula1>
          <xm:sqref>C33:J33</xm:sqref>
        </x14:dataValidation>
        <x14:dataValidation type="list" allowBlank="1" showInputMessage="1" showErrorMessage="1">
          <x14:formula1>
            <xm:f>'автоматы и токи'!$A$62:$A$81</xm:f>
          </x14:formula1>
          <xm:sqref>C35:J35</xm:sqref>
        </x14:dataValidation>
        <x14:dataValidation type="list" showInputMessage="1" showErrorMessage="1">
          <x14:formula1>
            <xm:f>'автоматы и токи'!$A$43:$A$74</xm:f>
          </x14:formula1>
          <xm:sqref>C48:N48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6:AA104"/>
  <sheetViews>
    <sheetView topLeftCell="C22" zoomScale="115" zoomScaleNormal="115" workbookViewId="0">
      <selection activeCell="H27" sqref="H27"/>
    </sheetView>
  </sheetViews>
  <sheetFormatPr defaultColWidth="9.140625" defaultRowHeight="15" x14ac:dyDescent="0.25"/>
  <cols>
    <col min="1" max="1" width="9.140625" style="5"/>
    <col min="2" max="2" width="42.5703125" style="5" customWidth="1"/>
    <col min="3" max="3" width="8.85546875" style="5" customWidth="1"/>
    <col min="4" max="4" width="8.42578125" style="5" customWidth="1"/>
    <col min="5" max="5" width="13.42578125" style="5" customWidth="1"/>
    <col min="6" max="21" width="12.140625" style="5" customWidth="1"/>
    <col min="22" max="16384" width="9.140625" style="5"/>
  </cols>
  <sheetData>
    <row r="6" spans="1:22" x14ac:dyDescent="0.25">
      <c r="A6" s="2"/>
      <c r="B6" s="3" t="s">
        <v>38</v>
      </c>
      <c r="C6" s="34" t="s">
        <v>1</v>
      </c>
      <c r="D6" s="34" t="s">
        <v>2</v>
      </c>
    </row>
    <row r="7" spans="1:22" x14ac:dyDescent="0.25">
      <c r="A7" s="2">
        <f>IF(ОЛ!C9=2,2,"")</f>
        <v>2</v>
      </c>
      <c r="B7" s="3" t="s">
        <v>3</v>
      </c>
      <c r="C7" s="4">
        <v>1</v>
      </c>
      <c r="D7" s="4">
        <v>2</v>
      </c>
    </row>
    <row r="8" spans="1:22" x14ac:dyDescent="0.25">
      <c r="A8" s="2"/>
      <c r="B8" s="6" t="s">
        <v>4</v>
      </c>
      <c r="C8" s="7">
        <v>25</v>
      </c>
      <c r="D8" s="7">
        <v>40</v>
      </c>
      <c r="E8" s="7">
        <v>63</v>
      </c>
      <c r="F8" s="7">
        <v>100</v>
      </c>
      <c r="G8" s="7">
        <v>160</v>
      </c>
      <c r="H8" s="7">
        <v>250</v>
      </c>
      <c r="I8" s="7">
        <v>400</v>
      </c>
      <c r="J8" s="7">
        <v>630</v>
      </c>
      <c r="K8" s="8">
        <v>1000</v>
      </c>
    </row>
    <row r="9" spans="1:22" x14ac:dyDescent="0.25">
      <c r="A9" s="2"/>
      <c r="B9" s="6" t="s">
        <v>98</v>
      </c>
      <c r="C9" s="7" t="s">
        <v>16</v>
      </c>
      <c r="D9" s="7" t="s">
        <v>19</v>
      </c>
      <c r="E9" s="7"/>
      <c r="F9" s="7"/>
      <c r="G9" s="7"/>
      <c r="H9" s="7"/>
      <c r="I9" s="7"/>
      <c r="J9" s="7"/>
      <c r="K9" s="8"/>
    </row>
    <row r="10" spans="1:22" x14ac:dyDescent="0.25">
      <c r="A10" s="2"/>
      <c r="B10" s="6" t="s">
        <v>5</v>
      </c>
      <c r="C10" s="7" t="s">
        <v>6</v>
      </c>
      <c r="D10" s="5" t="s">
        <v>213</v>
      </c>
      <c r="E10" s="7" t="s">
        <v>211</v>
      </c>
      <c r="F10" s="14" t="s">
        <v>212</v>
      </c>
      <c r="G10" s="7" t="s">
        <v>19</v>
      </c>
      <c r="H10" s="7"/>
      <c r="I10" s="7"/>
      <c r="J10" s="7"/>
      <c r="K10" s="7"/>
    </row>
    <row r="11" spans="1:22" x14ac:dyDescent="0.25">
      <c r="A11" s="2"/>
      <c r="B11" s="10" t="s">
        <v>7</v>
      </c>
      <c r="C11" s="9" t="s">
        <v>8</v>
      </c>
      <c r="D11" s="9" t="s">
        <v>9</v>
      </c>
      <c r="F11" s="9" t="s">
        <v>10</v>
      </c>
      <c r="G11" s="9"/>
      <c r="H11" s="9"/>
      <c r="I11" s="9"/>
      <c r="J11" s="9"/>
      <c r="K11" s="9"/>
    </row>
    <row r="12" spans="1:22" ht="30" x14ac:dyDescent="0.25">
      <c r="A12" s="2"/>
      <c r="B12" s="11" t="s">
        <v>11</v>
      </c>
      <c r="C12" s="7">
        <v>6</v>
      </c>
      <c r="D12" s="7">
        <v>10</v>
      </c>
      <c r="E12" s="9"/>
      <c r="F12" s="4"/>
      <c r="G12" s="4"/>
      <c r="H12" s="4"/>
      <c r="I12" s="4"/>
      <c r="J12" s="4"/>
      <c r="K12" s="4"/>
    </row>
    <row r="13" spans="1:22" x14ac:dyDescent="0.25">
      <c r="A13" s="2"/>
      <c r="B13" s="10" t="s">
        <v>12</v>
      </c>
      <c r="C13" s="9" t="s">
        <v>13</v>
      </c>
      <c r="D13" s="9" t="s">
        <v>14</v>
      </c>
      <c r="E13" s="9"/>
      <c r="F13" s="4"/>
      <c r="G13" s="4"/>
      <c r="H13" s="4"/>
      <c r="I13" s="4"/>
      <c r="J13" s="4"/>
      <c r="K13" s="4"/>
    </row>
    <row r="14" spans="1:22" x14ac:dyDescent="0.25">
      <c r="A14" s="2"/>
      <c r="B14" s="10" t="s">
        <v>15</v>
      </c>
      <c r="C14" s="9" t="s">
        <v>13</v>
      </c>
      <c r="D14" s="9" t="s">
        <v>14</v>
      </c>
      <c r="E14" s="9"/>
      <c r="F14" s="4"/>
      <c r="G14" s="4"/>
      <c r="H14" s="4"/>
      <c r="I14" s="4"/>
      <c r="J14" s="4"/>
      <c r="K14" s="4"/>
    </row>
    <row r="15" spans="1:22" x14ac:dyDescent="0.25">
      <c r="A15" s="2"/>
      <c r="B15" s="5" t="s">
        <v>56</v>
      </c>
      <c r="C15" s="14" t="s">
        <v>57</v>
      </c>
      <c r="D15" s="14" t="s">
        <v>58</v>
      </c>
      <c r="E15" s="9"/>
      <c r="F15" s="4"/>
      <c r="G15" s="4"/>
      <c r="H15" s="4"/>
      <c r="I15" s="4"/>
      <c r="J15" s="4"/>
      <c r="K15" s="4"/>
    </row>
    <row r="16" spans="1:22" x14ac:dyDescent="0.25">
      <c r="A16" s="2"/>
      <c r="B16" s="3" t="s">
        <v>23</v>
      </c>
      <c r="C16" s="76" t="s">
        <v>171</v>
      </c>
      <c r="D16" s="76" t="s">
        <v>172</v>
      </c>
      <c r="E16" s="76" t="s">
        <v>173</v>
      </c>
      <c r="F16" s="76" t="s">
        <v>174</v>
      </c>
      <c r="G16" s="76" t="s">
        <v>175</v>
      </c>
      <c r="H16" s="76" t="s">
        <v>176</v>
      </c>
      <c r="I16" s="76" t="s">
        <v>177</v>
      </c>
      <c r="J16" s="76" t="s">
        <v>178</v>
      </c>
      <c r="K16" s="76"/>
      <c r="L16" s="5" t="s">
        <v>19</v>
      </c>
      <c r="M16" s="76" t="s">
        <v>179</v>
      </c>
      <c r="N16" s="76" t="s">
        <v>180</v>
      </c>
      <c r="O16" s="76" t="s">
        <v>188</v>
      </c>
      <c r="P16" s="76" t="s">
        <v>181</v>
      </c>
      <c r="Q16" s="76" t="s">
        <v>182</v>
      </c>
      <c r="R16" s="76" t="s">
        <v>183</v>
      </c>
      <c r="S16" s="76" t="s">
        <v>184</v>
      </c>
      <c r="T16" s="76" t="s">
        <v>185</v>
      </c>
      <c r="U16" s="76" t="s">
        <v>168</v>
      </c>
      <c r="V16" s="5" t="s">
        <v>19</v>
      </c>
    </row>
    <row r="17" spans="1:23" x14ac:dyDescent="0.25">
      <c r="A17" s="2"/>
      <c r="B17" s="5" t="s">
        <v>129</v>
      </c>
      <c r="C17" s="4" t="s">
        <v>16</v>
      </c>
      <c r="D17" s="4" t="s">
        <v>17</v>
      </c>
      <c r="E17" s="4"/>
      <c r="F17" s="4"/>
      <c r="G17" s="4"/>
      <c r="H17" s="4"/>
      <c r="I17" s="4"/>
      <c r="J17" s="4"/>
      <c r="K17" s="4"/>
    </row>
    <row r="18" spans="1:23" x14ac:dyDescent="0.25">
      <c r="A18" s="2"/>
      <c r="B18" s="3" t="s">
        <v>18</v>
      </c>
      <c r="C18" s="12" t="s">
        <v>19</v>
      </c>
      <c r="D18" s="4" t="s">
        <v>39</v>
      </c>
      <c r="E18" s="4" t="s">
        <v>286</v>
      </c>
      <c r="F18" s="4" t="s">
        <v>20</v>
      </c>
      <c r="G18" s="5" t="s">
        <v>210</v>
      </c>
      <c r="H18" s="4" t="s">
        <v>21</v>
      </c>
      <c r="I18" s="4"/>
      <c r="J18" s="4"/>
      <c r="K18" s="4"/>
      <c r="L18" s="4"/>
    </row>
    <row r="19" spans="1:23" x14ac:dyDescent="0.25">
      <c r="A19" s="2"/>
      <c r="B19" s="3"/>
      <c r="C19" s="12">
        <f>C8</f>
        <v>25</v>
      </c>
      <c r="D19" s="12">
        <f t="shared" ref="D19:K19" si="0">D8</f>
        <v>40</v>
      </c>
      <c r="E19" s="12">
        <f t="shared" si="0"/>
        <v>63</v>
      </c>
      <c r="F19" s="12">
        <f t="shared" si="0"/>
        <v>100</v>
      </c>
      <c r="G19" s="12">
        <f t="shared" si="0"/>
        <v>160</v>
      </c>
      <c r="H19" s="12">
        <f t="shared" si="0"/>
        <v>250</v>
      </c>
      <c r="I19" s="12">
        <f t="shared" si="0"/>
        <v>400</v>
      </c>
      <c r="J19" s="12">
        <v>630</v>
      </c>
      <c r="K19" s="12">
        <f t="shared" si="0"/>
        <v>1000</v>
      </c>
    </row>
    <row r="20" spans="1:23" x14ac:dyDescent="0.25">
      <c r="A20" s="2"/>
      <c r="B20" s="3"/>
      <c r="C20" s="12"/>
      <c r="D20" s="12"/>
      <c r="E20" s="12"/>
      <c r="F20" s="12"/>
      <c r="G20" s="12"/>
      <c r="H20" s="12"/>
      <c r="I20" s="12"/>
      <c r="J20" s="12"/>
      <c r="K20" s="12"/>
    </row>
    <row r="21" spans="1:23" x14ac:dyDescent="0.25">
      <c r="A21" s="2"/>
      <c r="B21" s="3"/>
      <c r="C21" s="12"/>
      <c r="D21" s="12"/>
      <c r="E21" s="12"/>
      <c r="F21" s="12"/>
      <c r="G21" s="12"/>
      <c r="H21" s="12"/>
      <c r="I21" s="12"/>
      <c r="J21" s="12"/>
      <c r="K21" s="12"/>
    </row>
    <row r="22" spans="1:23" ht="31.5" x14ac:dyDescent="0.25">
      <c r="A22" s="2"/>
      <c r="B22" s="3"/>
      <c r="C22" s="12"/>
      <c r="D22" s="12"/>
      <c r="E22" s="12"/>
      <c r="F22" s="12"/>
      <c r="G22" s="12"/>
      <c r="H22" s="28" t="str">
        <f>IF((ОЛ!C19="Нет"),"ПКТ 102-6-40-31,5 У3","")</f>
        <v>ПКТ 102-6-40-31,5 У3</v>
      </c>
      <c r="I22" s="12"/>
      <c r="J22" s="12"/>
      <c r="K22" s="12"/>
    </row>
    <row r="23" spans="1:23" ht="47.25" x14ac:dyDescent="0.25">
      <c r="B23" s="91">
        <v>6</v>
      </c>
      <c r="C23" s="28" t="s">
        <v>99</v>
      </c>
      <c r="D23" s="28" t="s">
        <v>100</v>
      </c>
      <c r="E23" s="28" t="s">
        <v>101</v>
      </c>
      <c r="F23" s="28" t="s">
        <v>102</v>
      </c>
      <c r="G23" s="28" t="s">
        <v>103</v>
      </c>
      <c r="H23" s="28" t="str">
        <f>IF(H22="","ПКТ 101-6-31,5-12,5 У3",H22)</f>
        <v>ПКТ 102-6-40-31,5 У3</v>
      </c>
      <c r="I23" s="28" t="s">
        <v>104</v>
      </c>
      <c r="J23" s="28" t="s">
        <v>105</v>
      </c>
      <c r="K23" s="28" t="s">
        <v>106</v>
      </c>
      <c r="L23" s="5" t="s">
        <v>19</v>
      </c>
    </row>
    <row r="24" spans="1:23" ht="65.25" customHeight="1" x14ac:dyDescent="0.25">
      <c r="B24" s="91">
        <v>10</v>
      </c>
      <c r="C24" s="28" t="s">
        <v>132</v>
      </c>
      <c r="D24" s="28" t="s">
        <v>133</v>
      </c>
      <c r="E24" s="28" t="s">
        <v>107</v>
      </c>
      <c r="F24" s="28" t="s">
        <v>108</v>
      </c>
      <c r="G24" s="28" t="s">
        <v>109</v>
      </c>
      <c r="H24" s="28" t="str">
        <f>IF(H25="","ПКТ 101-10-20-12,5 У3",H25)</f>
        <v>ПКТ 102-10-31,5-31,5 У3</v>
      </c>
      <c r="I24" s="28" t="s">
        <v>110</v>
      </c>
      <c r="J24" s="28" t="s">
        <v>111</v>
      </c>
      <c r="K24" s="28" t="s">
        <v>112</v>
      </c>
      <c r="L24" s="5" t="s">
        <v>19</v>
      </c>
    </row>
    <row r="25" spans="1:23" ht="65.25" customHeight="1" x14ac:dyDescent="0.25">
      <c r="B25" s="3"/>
      <c r="C25" s="63"/>
      <c r="D25" s="63"/>
      <c r="E25" s="63"/>
      <c r="F25" s="63"/>
      <c r="G25" s="63"/>
      <c r="H25" s="28" t="str">
        <f>IF((ОЛ!C19="Нет"),"ПКТ 102-10-31,5-31,5 У3","")</f>
        <v>ПКТ 102-10-31,5-31,5 У3</v>
      </c>
      <c r="I25" s="63"/>
      <c r="J25" s="63"/>
      <c r="K25" s="63"/>
    </row>
    <row r="26" spans="1:23" x14ac:dyDescent="0.25">
      <c r="B26" s="13" t="s">
        <v>30</v>
      </c>
      <c r="C26" s="4"/>
      <c r="D26" s="4"/>
      <c r="E26" s="4"/>
      <c r="F26" s="4"/>
      <c r="G26" s="4"/>
    </row>
    <row r="28" spans="1:23" x14ac:dyDescent="0.25">
      <c r="A28" s="2"/>
      <c r="B28" s="3" t="s">
        <v>24</v>
      </c>
      <c r="C28" s="4" t="s">
        <v>25</v>
      </c>
      <c r="D28" s="4" t="s">
        <v>26</v>
      </c>
      <c r="E28" s="4" t="s">
        <v>27</v>
      </c>
      <c r="F28" s="4" t="s">
        <v>28</v>
      </c>
      <c r="G28" s="4" t="s">
        <v>125</v>
      </c>
      <c r="H28" s="4" t="s">
        <v>295</v>
      </c>
      <c r="I28" s="4" t="s">
        <v>19</v>
      </c>
    </row>
    <row r="29" spans="1:23" x14ac:dyDescent="0.25">
      <c r="A29" s="2"/>
      <c r="B29" s="3" t="s">
        <v>29</v>
      </c>
      <c r="C29" s="4">
        <v>250</v>
      </c>
      <c r="D29" s="4">
        <v>400</v>
      </c>
      <c r="E29" s="4">
        <v>630</v>
      </c>
      <c r="F29" s="4">
        <v>1000</v>
      </c>
      <c r="G29" s="4">
        <v>1600</v>
      </c>
    </row>
    <row r="30" spans="1:23" x14ac:dyDescent="0.25">
      <c r="A30" s="2"/>
      <c r="B30" s="3" t="s">
        <v>31</v>
      </c>
      <c r="C30" s="4" t="s">
        <v>32</v>
      </c>
      <c r="D30" s="4" t="s">
        <v>127</v>
      </c>
      <c r="E30" s="4" t="s">
        <v>46</v>
      </c>
      <c r="F30" s="4" t="s">
        <v>92</v>
      </c>
      <c r="G30" s="4" t="s">
        <v>33</v>
      </c>
      <c r="H30" s="4" t="s">
        <v>126</v>
      </c>
      <c r="I30" s="5" t="s">
        <v>145</v>
      </c>
      <c r="J30" s="5" t="s">
        <v>147</v>
      </c>
      <c r="K30" s="5" t="s">
        <v>144</v>
      </c>
      <c r="L30" s="4" t="s">
        <v>19</v>
      </c>
    </row>
    <row r="31" spans="1:23" x14ac:dyDescent="0.25">
      <c r="A31" s="2"/>
      <c r="B31" s="3" t="s">
        <v>29</v>
      </c>
      <c r="C31" s="7">
        <v>25</v>
      </c>
      <c r="D31" s="7">
        <v>40</v>
      </c>
      <c r="E31" s="7">
        <v>63</v>
      </c>
      <c r="F31" s="7">
        <v>100</v>
      </c>
      <c r="G31" s="7">
        <v>160</v>
      </c>
      <c r="H31" s="5">
        <v>200</v>
      </c>
      <c r="I31" s="4">
        <v>250</v>
      </c>
      <c r="J31" s="14">
        <v>400</v>
      </c>
      <c r="K31" s="4">
        <v>630</v>
      </c>
      <c r="L31" s="5">
        <v>1000</v>
      </c>
      <c r="M31" s="4">
        <v>1600</v>
      </c>
    </row>
    <row r="32" spans="1:23" x14ac:dyDescent="0.25">
      <c r="A32" s="2"/>
      <c r="B32" s="3" t="s">
        <v>34</v>
      </c>
      <c r="C32" s="4" t="s">
        <v>35</v>
      </c>
      <c r="D32" s="4">
        <v>0.5</v>
      </c>
      <c r="E32" s="14">
        <v>1</v>
      </c>
      <c r="F32" s="4" t="s">
        <v>19</v>
      </c>
      <c r="G32" s="4" t="s">
        <v>134</v>
      </c>
      <c r="H32" s="14" t="s">
        <v>76</v>
      </c>
      <c r="I32" s="14" t="s">
        <v>77</v>
      </c>
      <c r="J32" s="14" t="s">
        <v>81</v>
      </c>
      <c r="K32" s="14" t="s">
        <v>78</v>
      </c>
      <c r="L32" s="14" t="s">
        <v>79</v>
      </c>
      <c r="M32" s="14" t="s">
        <v>80</v>
      </c>
      <c r="N32" s="14" t="s">
        <v>82</v>
      </c>
      <c r="O32" s="14" t="s">
        <v>83</v>
      </c>
      <c r="P32" s="14" t="s">
        <v>84</v>
      </c>
      <c r="Q32" s="14" t="s">
        <v>85</v>
      </c>
      <c r="R32" s="14" t="s">
        <v>86</v>
      </c>
      <c r="S32" s="14" t="s">
        <v>87</v>
      </c>
      <c r="T32" s="14" t="s">
        <v>88</v>
      </c>
      <c r="U32" s="14" t="s">
        <v>89</v>
      </c>
      <c r="V32" s="14" t="s">
        <v>90</v>
      </c>
      <c r="W32" s="14" t="s">
        <v>91</v>
      </c>
    </row>
    <row r="33" spans="1:24" x14ac:dyDescent="0.25">
      <c r="A33" s="2"/>
      <c r="B33" s="3" t="s">
        <v>36</v>
      </c>
      <c r="C33" s="14" t="s">
        <v>16</v>
      </c>
      <c r="D33" s="14" t="s">
        <v>19</v>
      </c>
      <c r="F33" s="14"/>
      <c r="G33" s="14"/>
    </row>
    <row r="34" spans="1:24" x14ac:dyDescent="0.25">
      <c r="A34" s="2"/>
      <c r="B34" s="3" t="s">
        <v>50</v>
      </c>
      <c r="C34" s="14" t="s">
        <v>16</v>
      </c>
      <c r="D34" s="14" t="s">
        <v>19</v>
      </c>
    </row>
    <row r="35" spans="1:24" x14ac:dyDescent="0.25">
      <c r="A35" s="2"/>
      <c r="B35" s="3" t="s">
        <v>37</v>
      </c>
      <c r="C35" s="76" t="s">
        <v>169</v>
      </c>
      <c r="D35" s="76" t="s">
        <v>170</v>
      </c>
      <c r="E35" s="76" t="s">
        <v>207</v>
      </c>
      <c r="F35" s="76" t="s">
        <v>208</v>
      </c>
      <c r="G35" s="5" t="s">
        <v>19</v>
      </c>
    </row>
    <row r="37" spans="1:24" x14ac:dyDescent="0.25">
      <c r="A37" s="2"/>
      <c r="B37" s="13" t="s">
        <v>229</v>
      </c>
      <c r="C37" s="4"/>
      <c r="D37" s="4"/>
      <c r="E37" s="4"/>
      <c r="F37" s="4"/>
      <c r="G37" s="4"/>
      <c r="H37" s="14"/>
      <c r="I37" s="14"/>
      <c r="J37" s="14"/>
      <c r="K37" s="14"/>
    </row>
    <row r="38" spans="1:24" x14ac:dyDescent="0.25">
      <c r="A38" s="2"/>
      <c r="B38" s="3" t="s">
        <v>230</v>
      </c>
      <c r="C38" s="4" t="s">
        <v>17</v>
      </c>
      <c r="D38" s="5">
        <v>220</v>
      </c>
      <c r="E38" s="4">
        <v>36</v>
      </c>
      <c r="F38" s="4">
        <v>12</v>
      </c>
      <c r="G38" s="4"/>
      <c r="H38" s="4"/>
      <c r="I38" s="14"/>
      <c r="J38" s="14"/>
      <c r="K38" s="14"/>
    </row>
    <row r="39" spans="1:24" x14ac:dyDescent="0.25">
      <c r="A39" s="2"/>
      <c r="B39" s="3"/>
      <c r="C39" s="4"/>
      <c r="D39" s="4"/>
      <c r="E39" s="4"/>
      <c r="F39" s="4"/>
      <c r="G39" s="4"/>
      <c r="H39" s="4"/>
      <c r="I39" s="4"/>
      <c r="J39" s="4"/>
      <c r="L39" s="4"/>
    </row>
    <row r="40" spans="1:24" x14ac:dyDescent="0.25">
      <c r="A40" s="2"/>
      <c r="B40" s="3"/>
      <c r="C40" s="4"/>
      <c r="D40" s="4"/>
      <c r="E40" s="4"/>
      <c r="F40" s="4"/>
      <c r="G40" s="4"/>
      <c r="H40" s="4"/>
      <c r="I40" s="4"/>
      <c r="J40" s="4"/>
      <c r="K40" s="4"/>
    </row>
    <row r="41" spans="1:24" x14ac:dyDescent="0.25">
      <c r="A41" s="2"/>
      <c r="B41" s="3"/>
      <c r="C41" s="4"/>
      <c r="D41" s="4"/>
      <c r="E41" s="4"/>
      <c r="F41" s="4"/>
      <c r="G41" s="4"/>
      <c r="H41" s="4"/>
      <c r="I41" s="4"/>
      <c r="J41" s="4"/>
      <c r="L41" s="4"/>
    </row>
    <row r="42" spans="1:24" x14ac:dyDescent="0.25">
      <c r="C42" s="14"/>
      <c r="D42" s="14"/>
      <c r="E42" s="14"/>
      <c r="F42" s="14"/>
      <c r="G42" s="14"/>
      <c r="H42" s="14"/>
      <c r="I42" s="14"/>
      <c r="J42" s="14"/>
      <c r="K42" s="14"/>
    </row>
    <row r="43" spans="1:24" x14ac:dyDescent="0.25">
      <c r="A43" s="2"/>
      <c r="B43" s="13" t="s">
        <v>41</v>
      </c>
      <c r="C43" s="14"/>
      <c r="D43" s="14"/>
      <c r="E43" s="14"/>
      <c r="F43" s="14"/>
      <c r="G43" s="14"/>
      <c r="H43" s="14"/>
      <c r="I43" s="14"/>
      <c r="J43" s="14"/>
      <c r="K43" s="14"/>
    </row>
    <row r="44" spans="1:24" x14ac:dyDescent="0.25">
      <c r="A44" s="2"/>
      <c r="B44" s="5" t="s">
        <v>42</v>
      </c>
      <c r="C44" s="14" t="s">
        <v>32</v>
      </c>
      <c r="D44" s="14" t="s">
        <v>135</v>
      </c>
      <c r="E44" s="14" t="s">
        <v>136</v>
      </c>
      <c r="F44" s="5" t="s">
        <v>137</v>
      </c>
      <c r="G44" s="5" t="s">
        <v>138</v>
      </c>
      <c r="H44" s="5" t="s">
        <v>145</v>
      </c>
      <c r="J44" s="14" t="s">
        <v>127</v>
      </c>
      <c r="K44" s="14" t="s">
        <v>46</v>
      </c>
      <c r="L44" s="14" t="s">
        <v>92</v>
      </c>
      <c r="M44" s="14" t="s">
        <v>33</v>
      </c>
    </row>
    <row r="45" spans="1:24" x14ac:dyDescent="0.25">
      <c r="A45" s="2"/>
      <c r="B45" s="5" t="s">
        <v>29</v>
      </c>
      <c r="C45" s="14">
        <v>16</v>
      </c>
      <c r="D45" s="14">
        <v>20</v>
      </c>
      <c r="E45" s="14">
        <v>25</v>
      </c>
      <c r="F45" s="14">
        <v>31.5</v>
      </c>
      <c r="G45" s="14">
        <v>40</v>
      </c>
      <c r="H45" s="14">
        <v>50</v>
      </c>
      <c r="I45" s="14">
        <v>63</v>
      </c>
      <c r="J45" s="14">
        <v>80</v>
      </c>
      <c r="K45" s="14">
        <v>100</v>
      </c>
      <c r="L45" s="14">
        <v>125</v>
      </c>
      <c r="M45" s="14">
        <v>160</v>
      </c>
      <c r="N45" s="14">
        <v>200</v>
      </c>
      <c r="O45" s="14">
        <v>250</v>
      </c>
      <c r="P45" s="14">
        <v>320</v>
      </c>
      <c r="Q45" s="14">
        <v>400</v>
      </c>
      <c r="R45" s="14">
        <v>500</v>
      </c>
      <c r="S45" s="14">
        <v>630</v>
      </c>
      <c r="T45" s="14">
        <v>800</v>
      </c>
      <c r="U45" s="14">
        <v>1000</v>
      </c>
    </row>
    <row r="46" spans="1:24" x14ac:dyDescent="0.25">
      <c r="A46" s="2"/>
      <c r="B46" s="5" t="s">
        <v>43</v>
      </c>
      <c r="C46" s="14">
        <v>1</v>
      </c>
      <c r="D46" s="14">
        <v>2</v>
      </c>
      <c r="E46" s="14">
        <v>3</v>
      </c>
      <c r="F46" s="14">
        <v>4</v>
      </c>
      <c r="G46" s="14">
        <v>5</v>
      </c>
      <c r="H46" s="14">
        <v>6</v>
      </c>
      <c r="I46" s="14">
        <v>7</v>
      </c>
      <c r="J46" s="14">
        <v>8</v>
      </c>
      <c r="K46" s="14">
        <v>9</v>
      </c>
      <c r="L46" s="14">
        <v>10</v>
      </c>
      <c r="M46" s="14">
        <v>11</v>
      </c>
      <c r="N46" s="14">
        <v>12</v>
      </c>
      <c r="O46" s="14">
        <v>13</v>
      </c>
      <c r="P46" s="14">
        <v>14</v>
      </c>
      <c r="Q46" s="14">
        <v>15</v>
      </c>
      <c r="R46" s="14">
        <v>16</v>
      </c>
      <c r="S46" s="14">
        <v>17</v>
      </c>
      <c r="T46" s="14">
        <v>18</v>
      </c>
      <c r="U46" s="14">
        <v>19</v>
      </c>
      <c r="V46" s="14">
        <v>20</v>
      </c>
      <c r="W46" s="14">
        <v>21</v>
      </c>
      <c r="X46" s="14">
        <v>22</v>
      </c>
    </row>
    <row r="47" spans="1:24" x14ac:dyDescent="0.25">
      <c r="A47" s="2"/>
      <c r="B47" s="5" t="s">
        <v>44</v>
      </c>
      <c r="C47" s="14" t="s">
        <v>53</v>
      </c>
      <c r="D47" s="14"/>
      <c r="E47" s="14"/>
      <c r="F47" s="14"/>
      <c r="G47" s="14"/>
      <c r="H47" s="14"/>
      <c r="I47" s="14"/>
      <c r="J47" s="14"/>
      <c r="K47" s="14"/>
    </row>
    <row r="48" spans="1:24" x14ac:dyDescent="0.25">
      <c r="A48" s="2"/>
      <c r="B48" s="5" t="s">
        <v>45</v>
      </c>
      <c r="C48" s="14" t="s">
        <v>16</v>
      </c>
      <c r="D48" s="14" t="s">
        <v>19</v>
      </c>
      <c r="E48" s="14"/>
      <c r="F48" s="14"/>
      <c r="G48" s="14"/>
      <c r="H48" s="14"/>
      <c r="I48" s="14"/>
      <c r="J48" s="14"/>
      <c r="K48" s="14"/>
    </row>
    <row r="49" spans="1:27" x14ac:dyDescent="0.25">
      <c r="C49" s="14"/>
      <c r="D49" s="14"/>
      <c r="E49" s="14"/>
      <c r="F49" s="14"/>
      <c r="G49" s="14"/>
      <c r="H49" s="14"/>
      <c r="I49" s="14"/>
      <c r="J49" s="14"/>
      <c r="K49" s="14"/>
    </row>
    <row r="52" spans="1:27" x14ac:dyDescent="0.25">
      <c r="A52" s="2"/>
      <c r="B52" s="5" t="s">
        <v>60</v>
      </c>
      <c r="C52" s="5" t="s">
        <v>64</v>
      </c>
      <c r="D52" s="5" t="s">
        <v>65</v>
      </c>
      <c r="E52" s="5" t="s">
        <v>66</v>
      </c>
      <c r="F52" s="5" t="s">
        <v>19</v>
      </c>
    </row>
    <row r="53" spans="1:27" s="97" customFormat="1" ht="50.45" customHeight="1" x14ac:dyDescent="0.25">
      <c r="B53" s="97" t="s">
        <v>61</v>
      </c>
      <c r="C53" s="98" t="s">
        <v>19</v>
      </c>
      <c r="D53" s="99" t="s">
        <v>187</v>
      </c>
      <c r="E53" s="99" t="s">
        <v>217</v>
      </c>
      <c r="F53" s="99" t="s">
        <v>218</v>
      </c>
      <c r="G53" s="99" t="s">
        <v>219</v>
      </c>
      <c r="H53" s="99" t="s">
        <v>220</v>
      </c>
      <c r="I53" s="99" t="s">
        <v>221</v>
      </c>
      <c r="J53" s="99" t="s">
        <v>222</v>
      </c>
      <c r="K53" s="99" t="s">
        <v>223</v>
      </c>
      <c r="L53" s="99" t="s">
        <v>224</v>
      </c>
      <c r="M53" s="99" t="s">
        <v>225</v>
      </c>
      <c r="N53" s="99" t="s">
        <v>226</v>
      </c>
      <c r="O53" s="99" t="s">
        <v>227</v>
      </c>
      <c r="P53" s="99" t="s">
        <v>228</v>
      </c>
      <c r="Q53" s="104" t="s">
        <v>238</v>
      </c>
      <c r="R53" s="104" t="s">
        <v>239</v>
      </c>
      <c r="S53" s="104" t="s">
        <v>240</v>
      </c>
      <c r="T53" s="68"/>
      <c r="U53" s="68"/>
      <c r="AA53" s="97" t="s">
        <v>73</v>
      </c>
    </row>
    <row r="54" spans="1:27" s="68" customFormat="1" ht="55.15" customHeight="1" x14ac:dyDescent="0.25">
      <c r="A54" s="66"/>
      <c r="B54" s="67" t="s">
        <v>71</v>
      </c>
      <c r="D54" s="68" t="s">
        <v>143</v>
      </c>
      <c r="E54" s="68" t="s">
        <v>241</v>
      </c>
      <c r="G54" s="68" t="s">
        <v>141</v>
      </c>
      <c r="H54" s="68" t="s">
        <v>17</v>
      </c>
      <c r="T54" s="5"/>
      <c r="U54" s="5"/>
    </row>
    <row r="55" spans="1:27" ht="78.75" x14ac:dyDescent="0.25">
      <c r="A55" s="2"/>
      <c r="B55" s="5" t="s">
        <v>72</v>
      </c>
      <c r="E55" s="28" t="s">
        <v>191</v>
      </c>
      <c r="F55" s="28" t="s">
        <v>190</v>
      </c>
      <c r="G55" s="28" t="s">
        <v>114</v>
      </c>
      <c r="H55" s="28" t="s">
        <v>113</v>
      </c>
      <c r="I55" s="28" t="s">
        <v>115</v>
      </c>
      <c r="J55" s="28" t="s">
        <v>128</v>
      </c>
      <c r="K55" s="28" t="s">
        <v>118</v>
      </c>
      <c r="L55" s="28" t="s">
        <v>120</v>
      </c>
      <c r="M55" s="28"/>
      <c r="N55" s="28"/>
      <c r="O55" s="28"/>
      <c r="P55" s="28"/>
      <c r="Q55" s="28"/>
      <c r="R55" s="28" t="s">
        <v>73</v>
      </c>
      <c r="S55" s="5" t="s">
        <v>19</v>
      </c>
    </row>
    <row r="56" spans="1:27" ht="78.75" x14ac:dyDescent="0.25">
      <c r="E56" s="28"/>
      <c r="F56" s="28"/>
      <c r="G56" s="28"/>
      <c r="H56" s="28"/>
      <c r="I56" s="28" t="s">
        <v>122</v>
      </c>
      <c r="J56" s="28" t="s">
        <v>116</v>
      </c>
      <c r="K56" s="28"/>
      <c r="L56" s="28" t="s">
        <v>121</v>
      </c>
      <c r="M56" s="28"/>
      <c r="N56" s="28"/>
      <c r="O56" s="28"/>
      <c r="P56" s="28"/>
      <c r="Q56" s="28"/>
      <c r="R56" s="28"/>
    </row>
    <row r="57" spans="1:27" ht="78.75" x14ac:dyDescent="0.25">
      <c r="E57" s="28"/>
      <c r="F57" s="28"/>
      <c r="G57" s="28"/>
      <c r="H57" s="28"/>
      <c r="I57" s="28"/>
      <c r="J57" s="28" t="s">
        <v>117</v>
      </c>
      <c r="K57" s="28" t="s">
        <v>119</v>
      </c>
      <c r="L57" s="28"/>
      <c r="M57" s="28"/>
      <c r="N57" s="28"/>
      <c r="O57" s="28"/>
      <c r="P57" s="28"/>
      <c r="Q57" s="28"/>
      <c r="R57" s="28"/>
    </row>
    <row r="61" spans="1:27" x14ac:dyDescent="0.25">
      <c r="A61" s="2"/>
      <c r="B61" s="5" t="s">
        <v>59</v>
      </c>
      <c r="C61" s="5" t="s">
        <v>123</v>
      </c>
      <c r="D61" s="5" t="s">
        <v>69</v>
      </c>
      <c r="E61" s="5" t="s">
        <v>124</v>
      </c>
      <c r="F61" s="5" t="s">
        <v>140</v>
      </c>
      <c r="G61" s="5" t="s">
        <v>139</v>
      </c>
      <c r="H61" s="5" t="s">
        <v>68</v>
      </c>
      <c r="I61" s="5" t="s">
        <v>19</v>
      </c>
    </row>
    <row r="62" spans="1:27" x14ac:dyDescent="0.25">
      <c r="A62" s="2"/>
      <c r="B62" s="5" t="s">
        <v>70</v>
      </c>
      <c r="C62" s="5" t="s">
        <v>67</v>
      </c>
      <c r="E62" s="5" t="s">
        <v>68</v>
      </c>
      <c r="F62" s="5" t="s">
        <v>19</v>
      </c>
    </row>
    <row r="67" spans="2:9" x14ac:dyDescent="0.25">
      <c r="E67" s="5">
        <f>IF(OR((ОЛ!C15="Воздух"),(ОЛ!C16="Воздух")),1,0)</f>
        <v>0</v>
      </c>
    </row>
    <row r="68" spans="2:9" x14ac:dyDescent="0.25">
      <c r="B68" s="17"/>
      <c r="C68" s="22" t="s">
        <v>94</v>
      </c>
      <c r="E68" s="22" t="s">
        <v>95</v>
      </c>
      <c r="G68" s="86" t="s">
        <v>96</v>
      </c>
    </row>
    <row r="69" spans="2:9" x14ac:dyDescent="0.25">
      <c r="B69" s="24" t="s">
        <v>93</v>
      </c>
      <c r="C69" s="25">
        <f>IF((ОЛ!C8="Тупиковая")*AND(ОЛ!C19="Нет"), 3800,0)</f>
        <v>3800</v>
      </c>
      <c r="D69" s="87" t="s">
        <v>196</v>
      </c>
      <c r="E69" s="25">
        <f>IF((ОЛ!C19="Да")*AND(ОЛ!C10&gt;100), 1800,0)</f>
        <v>0</v>
      </c>
      <c r="F69" s="87" t="s">
        <v>193</v>
      </c>
      <c r="G69" s="26">
        <f>IF(OR((ОЛ!C15="Воздух"),(ОЛ!C16="Воздух"))*AND((ОЛ!C9=1),(ОЛ!C19="Нет"),(ОЛ!C8="Тупиковая")),4700,0)</f>
        <v>0</v>
      </c>
      <c r="H69" s="87" t="s">
        <v>199</v>
      </c>
    </row>
    <row r="70" spans="2:9" x14ac:dyDescent="0.25">
      <c r="B70" s="24"/>
      <c r="C70" s="25">
        <f>IF((ОЛ!C8="Проходная")*AND(ОЛ!C19="Нет"), 4610,0)</f>
        <v>0</v>
      </c>
      <c r="D70" s="87" t="s">
        <v>195</v>
      </c>
      <c r="E70" s="25">
        <f>IF((ОЛ!C19="Да")*AND(ОЛ!C10&lt;=100), 1500,0)</f>
        <v>0</v>
      </c>
      <c r="F70" s="87" t="s">
        <v>194</v>
      </c>
      <c r="G70" s="26">
        <f>IF(OR((ОЛ!C15="Кабель"),(ОЛ!C16="Кабель"))*AND((ОЛ!C9=1),(ОЛ!C19="Нет"),(ОЛ!C8="Тупиковая")),2500,0)</f>
        <v>0</v>
      </c>
      <c r="H70" s="87" t="s">
        <v>198</v>
      </c>
    </row>
    <row r="71" spans="2:9" x14ac:dyDescent="0.25">
      <c r="B71" s="24"/>
      <c r="C71" s="25">
        <f>IF((ОЛ!C19="Да")*AND(ОЛ!C10&gt;100), 2100,1500)</f>
        <v>1500</v>
      </c>
      <c r="D71" s="87" t="s">
        <v>197</v>
      </c>
      <c r="E71" s="25">
        <f>IF((ОЛ!C9=2)*AND(ОЛ!C10&gt;630), 4550,0)</f>
        <v>0</v>
      </c>
      <c r="F71" s="87" t="s">
        <v>231</v>
      </c>
      <c r="G71" s="26">
        <f>IF(OR((ОЛ!C15="Воздух"),(ОЛ!C16="Воздух"))*AND((ОЛ!C9=1),(ОЛ!C19="Нет"),(ОЛ!C8="Проходная")),4883,0)</f>
        <v>0</v>
      </c>
      <c r="H71" s="87" t="s">
        <v>200</v>
      </c>
    </row>
    <row r="72" spans="2:9" x14ac:dyDescent="0.25">
      <c r="B72" s="24"/>
      <c r="C72" s="25"/>
      <c r="E72" s="25">
        <f>IF((ОЛ!C9=2)*AND(ОЛ!C10&lt;=630), 4150,0)</f>
        <v>4150</v>
      </c>
      <c r="F72" s="87" t="s">
        <v>232</v>
      </c>
      <c r="G72" s="26">
        <f>IF(OR((ОЛ!C15="Кабель"),(ОЛ!C16="Кабель"))*AND((ОЛ!C9=1),(ОЛ!C19="Нет"),(ОЛ!C8="Проходная")),2510,0)</f>
        <v>0</v>
      </c>
      <c r="H72" s="87" t="s">
        <v>201</v>
      </c>
    </row>
    <row r="73" spans="2:9" x14ac:dyDescent="0.25">
      <c r="B73" s="24"/>
      <c r="C73" s="25"/>
      <c r="E73" s="25">
        <f>IF((ОЛ!C9=1)*AND(ОЛ!C8="Проходная"), 2980,0)</f>
        <v>0</v>
      </c>
      <c r="F73" s="87" t="s">
        <v>195</v>
      </c>
      <c r="G73" s="26">
        <f>IF(OR((ОЛ!C15="Кабель"),(ОЛ!C16="Кабель"))*AND(ОЛ!C9=2), 2670,0)</f>
        <v>2670</v>
      </c>
      <c r="H73" s="87" t="s">
        <v>202</v>
      </c>
    </row>
    <row r="74" spans="2:9" x14ac:dyDescent="0.25">
      <c r="B74" s="24"/>
      <c r="C74" s="25"/>
      <c r="E74" s="25">
        <f>IF((ОЛ!C9=1)*AND(ОЛ!C8="Тупиковая")*AND(ОЛ!C10&lt;=630)*AND(ОЛ!C19="Нет"), 2420,0)</f>
        <v>0</v>
      </c>
      <c r="F74" s="87" t="s">
        <v>233</v>
      </c>
      <c r="G74" s="26">
        <f>IF(OR((ОЛ!C15="Воздух"),(ОЛ!C16="Воздух"))*AND(ОЛ!C9=2), 4995,0)</f>
        <v>0</v>
      </c>
      <c r="H74" s="87" t="s">
        <v>203</v>
      </c>
    </row>
    <row r="75" spans="2:9" x14ac:dyDescent="0.25">
      <c r="B75" s="24"/>
      <c r="C75" s="25"/>
      <c r="E75" s="25">
        <f>IF((ОЛ!C9=1)*AND(ОЛ!C8="Тупиковая")*AND(ОЛ!C10&gt;630)*AND(ОЛ!C19="Нет"), 2340,0)</f>
        <v>0</v>
      </c>
      <c r="F75" s="87" t="s">
        <v>234</v>
      </c>
      <c r="G75" s="26">
        <f>IF(OR((ОЛ!C15="Воздух"),(ОЛ!C16="Воздух"))*AND(ОЛ!C19="Да"), 4500,0)</f>
        <v>0</v>
      </c>
      <c r="H75" s="87" t="s">
        <v>205</v>
      </c>
    </row>
    <row r="76" spans="2:9" x14ac:dyDescent="0.25">
      <c r="B76" s="24"/>
      <c r="C76" s="25"/>
      <c r="E76" s="25"/>
      <c r="G76" s="26">
        <f>IF(OR((ОЛ!C15="Кабель"),(ОЛ!C16="Кабель"))*AND(ОЛ!C19="Да"), 2060,0)</f>
        <v>0</v>
      </c>
      <c r="H76" s="87" t="s">
        <v>204</v>
      </c>
    </row>
    <row r="77" spans="2:9" x14ac:dyDescent="0.25">
      <c r="B77" s="18"/>
      <c r="C77" s="16">
        <f>MAX(C69:C76)</f>
        <v>3800</v>
      </c>
      <c r="E77" s="16">
        <f>SUM(E69:E76)</f>
        <v>4150</v>
      </c>
      <c r="G77" s="27">
        <f>MAX(G69:G76)</f>
        <v>2670</v>
      </c>
    </row>
    <row r="79" spans="2:9" x14ac:dyDescent="0.25">
      <c r="E79" s="5">
        <f>IF(OR((ОЛ!C15="Воздух"),(ОЛ!C16="Воздух")),1,0)</f>
        <v>0</v>
      </c>
    </row>
    <row r="80" spans="2:9" x14ac:dyDescent="0.25">
      <c r="B80" s="17"/>
      <c r="C80" s="22" t="s">
        <v>94</v>
      </c>
      <c r="E80" s="22" t="s">
        <v>95</v>
      </c>
      <c r="G80" s="88"/>
      <c r="H80" s="25"/>
      <c r="I80" s="25"/>
    </row>
    <row r="81" spans="2:9" x14ac:dyDescent="0.25">
      <c r="B81" s="24" t="s">
        <v>206</v>
      </c>
      <c r="C81" s="25">
        <f>IF((ОЛ!C8="Тупиковая")*AND(ОЛ!C19="Нет"), 3800,0)</f>
        <v>3800</v>
      </c>
      <c r="D81" s="87" t="s">
        <v>196</v>
      </c>
      <c r="E81" s="25"/>
      <c r="F81" s="87" t="s">
        <v>193</v>
      </c>
      <c r="G81" s="25"/>
      <c r="H81" s="89"/>
      <c r="I81" s="25"/>
    </row>
    <row r="82" spans="2:9" x14ac:dyDescent="0.25">
      <c r="B82" s="24"/>
      <c r="C82" s="25">
        <f>IF((ОЛ!C8="Проходная")*AND(ОЛ!C19="Нет")*AND(ОЛ!Q8&lt;=6), 3800,0)</f>
        <v>0</v>
      </c>
      <c r="D82" s="87" t="s">
        <v>290</v>
      </c>
      <c r="E82" s="25"/>
      <c r="F82" s="87" t="s">
        <v>194</v>
      </c>
      <c r="G82" s="25"/>
      <c r="H82" s="89"/>
      <c r="I82" s="25"/>
    </row>
    <row r="83" spans="2:9" x14ac:dyDescent="0.25">
      <c r="B83" s="24"/>
      <c r="C83" s="5">
        <f>IF((ОЛ!C8="Проходная")*AND(ОЛ!C19="Нет")*AND(OR((ОЛ!Q8=7),(ОЛ!Q8=8))), 6480,0)</f>
        <v>0</v>
      </c>
      <c r="D83" s="87" t="s">
        <v>291</v>
      </c>
      <c r="E83" s="25">
        <f>IF((ОЛ!C9=2)*AND(ОЛ!C10&gt;630), 4400,0)</f>
        <v>0</v>
      </c>
      <c r="F83" s="87" t="s">
        <v>231</v>
      </c>
      <c r="G83" s="25"/>
      <c r="H83" s="89"/>
      <c r="I83" s="25"/>
    </row>
    <row r="84" spans="2:9" x14ac:dyDescent="0.25">
      <c r="B84" s="24"/>
      <c r="C84" s="5">
        <f>IF((ОЛ!C8="Проходная")*AND(ОЛ!C19="Нет")*AND(OR((ОЛ!Q8=9),(ОЛ!Q8=10))), 7430,0)</f>
        <v>0</v>
      </c>
      <c r="D84" s="87" t="s">
        <v>292</v>
      </c>
      <c r="E84" s="25">
        <f>IF((ОЛ!C9=2)*AND(ОЛ!C10&lt;=630), 4400,0)</f>
        <v>4400</v>
      </c>
      <c r="F84" s="87" t="s">
        <v>232</v>
      </c>
      <c r="G84" s="25"/>
      <c r="H84" s="89"/>
      <c r="I84" s="25"/>
    </row>
    <row r="85" spans="2:9" x14ac:dyDescent="0.25">
      <c r="B85" s="24"/>
      <c r="C85" s="5">
        <f>IF((ОЛ!C8="Проходная")*AND(ОЛ!C19="Нет")*AND(OR((ОЛ!Q8=11),(ОЛ!Q8=12))), 8380,0)</f>
        <v>0</v>
      </c>
      <c r="D85" s="87" t="s">
        <v>293</v>
      </c>
      <c r="E85" s="25">
        <f>IF((ОЛ!C9=2)*AND(ОЛ!C8="Проходная"), 4400,0)</f>
        <v>0</v>
      </c>
      <c r="F85" s="87" t="s">
        <v>195</v>
      </c>
      <c r="G85" s="25"/>
      <c r="H85" s="89"/>
      <c r="I85" s="25"/>
    </row>
    <row r="86" spans="2:9" x14ac:dyDescent="0.25">
      <c r="B86" s="24"/>
      <c r="C86" s="5">
        <f>IF((ОЛ!C8="Проходная")*AND(ОЛ!C19="Нет")*AND(OR((ОЛ!Q8=13),(ОЛ!Q8=14))), 9330,0)</f>
        <v>0</v>
      </c>
      <c r="D86" s="87" t="s">
        <v>294</v>
      </c>
      <c r="E86" s="25">
        <f>IF((ОЛ!C9=1)*AND(ОЛ!C8="Тупиковая")*AND(ОЛ!C10&lt;=630)*AND(ОЛ!C19="Нет"), 2200,0)</f>
        <v>0</v>
      </c>
      <c r="F86" s="87" t="s">
        <v>233</v>
      </c>
      <c r="G86" s="25"/>
      <c r="H86" s="89"/>
      <c r="I86" s="25"/>
    </row>
    <row r="87" spans="2:9" x14ac:dyDescent="0.25">
      <c r="B87" s="24"/>
      <c r="C87" s="25">
        <f>IF((ОЛ!C8="Тупиковая")*AND(ОЛ!C19="Да")*AND(ОЛ!C10&lt;=100), 1930,0)</f>
        <v>0</v>
      </c>
      <c r="D87" s="87" t="s">
        <v>287</v>
      </c>
      <c r="E87" s="25">
        <f>IF((ОЛ!C9=1)*AND(ОЛ!C8="Тупиковая")*AND(ОЛ!C10&gt;630)*AND(ОЛ!C19="Нет"), 2200,0)</f>
        <v>0</v>
      </c>
      <c r="F87" s="87" t="s">
        <v>234</v>
      </c>
      <c r="G87" s="25"/>
      <c r="H87" s="89"/>
      <c r="I87" s="25"/>
    </row>
    <row r="88" spans="2:9" x14ac:dyDescent="0.25">
      <c r="B88" s="24"/>
      <c r="C88" s="25">
        <f>IF((ОЛ!C8="Тупиковая")*AND(ОЛ!C19="Да")*AND(ОЛ!C10&gt;100), 2030,0)</f>
        <v>0</v>
      </c>
      <c r="D88" s="87" t="s">
        <v>288</v>
      </c>
      <c r="E88" s="25"/>
      <c r="G88" s="25"/>
      <c r="H88" s="89"/>
      <c r="I88" s="25"/>
    </row>
    <row r="89" spans="2:9" x14ac:dyDescent="0.25">
      <c r="B89" s="18"/>
      <c r="C89" s="16">
        <f>MAX(C81:C88)</f>
        <v>3800</v>
      </c>
      <c r="E89" s="16">
        <f>SUM(E81:E88)</f>
        <v>4400</v>
      </c>
      <c r="G89" s="25"/>
      <c r="H89" s="25"/>
      <c r="I89" s="25"/>
    </row>
    <row r="96" spans="2:9" x14ac:dyDescent="0.25">
      <c r="B96" s="17" t="s">
        <v>130</v>
      </c>
      <c r="C96" s="22"/>
      <c r="D96" s="23"/>
    </row>
    <row r="97" spans="2:6" x14ac:dyDescent="0.25">
      <c r="B97" s="24"/>
      <c r="C97" s="61" t="str">
        <f>IF((ОЛ!C19="Да")*AND(ОЛ!C10&lt;400)*AND(ОЛ!C10&gt;100),9,"")</f>
        <v/>
      </c>
      <c r="D97" s="26"/>
    </row>
    <row r="98" spans="2:6" x14ac:dyDescent="0.25">
      <c r="B98" s="24"/>
      <c r="C98" s="61" t="str">
        <f>IF((ОЛ!C19="Да")*AND(ОЛ!C10&lt;160),7,"")</f>
        <v/>
      </c>
      <c r="D98" s="26"/>
    </row>
    <row r="99" spans="2:6" x14ac:dyDescent="0.25">
      <c r="B99" s="24"/>
      <c r="C99" s="61">
        <f>IF((ОЛ!C19="Нет"),12,"")</f>
        <v>12</v>
      </c>
      <c r="D99" s="26"/>
    </row>
    <row r="100" spans="2:6" x14ac:dyDescent="0.25">
      <c r="B100" s="24"/>
      <c r="C100" s="25"/>
      <c r="D100" s="26"/>
    </row>
    <row r="101" spans="2:6" x14ac:dyDescent="0.25">
      <c r="B101" s="24"/>
      <c r="C101" s="25"/>
      <c r="D101" s="26"/>
    </row>
    <row r="102" spans="2:6" x14ac:dyDescent="0.25">
      <c r="B102" s="24"/>
      <c r="C102" s="25"/>
      <c r="D102" s="26"/>
    </row>
    <row r="103" spans="2:6" x14ac:dyDescent="0.25">
      <c r="B103" s="18"/>
      <c r="C103" s="16">
        <f>MAX(C97:C102)</f>
        <v>12</v>
      </c>
      <c r="D103" s="27"/>
    </row>
    <row r="104" spans="2:6" x14ac:dyDescent="0.25">
      <c r="F104" s="5" t="s">
        <v>146</v>
      </c>
    </row>
  </sheetData>
  <sortState ref="A46:U46">
    <sortCondition ref="A46"/>
  </sortState>
  <pageMargins left="0.27559055118110237" right="0.44" top="0.49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C92"/>
  <sheetViews>
    <sheetView zoomScale="40" zoomScaleNormal="40" workbookViewId="0">
      <pane xSplit="1" ySplit="1" topLeftCell="B11" activePane="bottomRight" state="frozen"/>
      <selection activeCell="H27" sqref="H27"/>
      <selection pane="topRight" activeCell="H27" sqref="H27"/>
      <selection pane="bottomLeft" activeCell="H27" sqref="H27"/>
      <selection pane="bottomRight" activeCell="H27" sqref="H27"/>
    </sheetView>
  </sheetViews>
  <sheetFormatPr defaultRowHeight="15" x14ac:dyDescent="0.25"/>
  <cols>
    <col min="1" max="1" width="27.85546875" style="73" customWidth="1"/>
    <col min="2" max="2" width="11.7109375" customWidth="1"/>
    <col min="3" max="3" width="9.7109375" customWidth="1"/>
    <col min="5" max="5" width="11.5703125" customWidth="1"/>
    <col min="6" max="6" width="11" customWidth="1"/>
    <col min="11" max="11" width="9.85546875" bestFit="1" customWidth="1"/>
    <col min="13" max="13" width="9.85546875" bestFit="1" customWidth="1"/>
    <col min="25" max="25" width="10.42578125" bestFit="1" customWidth="1"/>
    <col min="26" max="26" width="10.28515625" bestFit="1" customWidth="1"/>
    <col min="27" max="27" width="13.28515625" bestFit="1" customWidth="1"/>
    <col min="28" max="28" width="14.28515625" bestFit="1" customWidth="1"/>
  </cols>
  <sheetData>
    <row r="1" spans="1:29" x14ac:dyDescent="0.25">
      <c r="A1" s="69" t="s">
        <v>148</v>
      </c>
      <c r="B1" s="70" t="s">
        <v>149</v>
      </c>
      <c r="C1" s="70" t="s">
        <v>150</v>
      </c>
      <c r="D1" s="70" t="s">
        <v>151</v>
      </c>
      <c r="E1" s="70" t="s">
        <v>152</v>
      </c>
      <c r="F1" s="70" t="s">
        <v>153</v>
      </c>
      <c r="G1" s="70" t="s">
        <v>154</v>
      </c>
      <c r="H1" s="70" t="s">
        <v>155</v>
      </c>
      <c r="I1" s="70" t="s">
        <v>156</v>
      </c>
      <c r="J1" s="70" t="s">
        <v>157</v>
      </c>
      <c r="K1" s="70" t="s">
        <v>158</v>
      </c>
      <c r="L1" s="70" t="s">
        <v>159</v>
      </c>
      <c r="M1" s="70" t="s">
        <v>160</v>
      </c>
      <c r="N1" s="70" t="s">
        <v>161</v>
      </c>
      <c r="O1" s="70" t="s">
        <v>162</v>
      </c>
      <c r="P1" s="70" t="s">
        <v>163</v>
      </c>
      <c r="Q1" s="70" t="s">
        <v>164</v>
      </c>
      <c r="R1" s="70" t="s">
        <v>165</v>
      </c>
      <c r="S1" s="70" t="s">
        <v>166</v>
      </c>
      <c r="T1" s="70" t="s">
        <v>192</v>
      </c>
      <c r="U1" s="146" t="s">
        <v>275</v>
      </c>
      <c r="V1" s="146" t="s">
        <v>276</v>
      </c>
      <c r="W1" s="146" t="s">
        <v>277</v>
      </c>
      <c r="X1" s="146" t="s">
        <v>278</v>
      </c>
      <c r="Y1" s="70" t="s">
        <v>209</v>
      </c>
      <c r="Z1" s="103" t="s">
        <v>235</v>
      </c>
      <c r="AA1" s="103" t="s">
        <v>236</v>
      </c>
      <c r="AB1" s="103" t="s">
        <v>237</v>
      </c>
      <c r="AC1" s="70" t="s">
        <v>19</v>
      </c>
    </row>
    <row r="2" spans="1:29" ht="18.75" x14ac:dyDescent="0.3">
      <c r="A2" s="69">
        <v>2</v>
      </c>
      <c r="B2" s="71"/>
      <c r="C2" s="106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107"/>
      <c r="V2" s="107"/>
      <c r="W2" s="71"/>
      <c r="X2" s="71"/>
      <c r="Y2" s="71"/>
      <c r="Z2" s="102"/>
      <c r="AA2" s="107"/>
      <c r="AB2" s="71"/>
      <c r="AC2" s="71"/>
    </row>
    <row r="3" spans="1:29" ht="18.75" x14ac:dyDescent="0.3">
      <c r="A3" s="69">
        <v>3</v>
      </c>
      <c r="B3" s="71"/>
      <c r="C3" s="106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107"/>
      <c r="V3" s="107"/>
      <c r="W3" s="71"/>
      <c r="X3" s="71"/>
      <c r="Y3" s="71"/>
      <c r="Z3" s="102"/>
      <c r="AA3" s="107"/>
      <c r="AB3" s="71"/>
      <c r="AC3" s="71"/>
    </row>
    <row r="4" spans="1:29" ht="18.75" x14ac:dyDescent="0.3">
      <c r="A4" s="69">
        <v>5</v>
      </c>
      <c r="B4" s="71"/>
      <c r="C4" s="106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107"/>
      <c r="V4" s="107"/>
      <c r="W4" s="71"/>
      <c r="X4" s="71"/>
      <c r="Y4" s="71"/>
      <c r="Z4" s="102"/>
      <c r="AA4" s="107"/>
      <c r="AB4" s="71"/>
      <c r="AC4" s="71"/>
    </row>
    <row r="5" spans="1:29" ht="18.75" x14ac:dyDescent="0.3">
      <c r="A5" s="69">
        <v>6</v>
      </c>
      <c r="B5" s="71"/>
      <c r="C5" s="106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107"/>
      <c r="V5" s="107"/>
      <c r="W5" s="71"/>
      <c r="X5" s="71"/>
      <c r="Y5" s="71"/>
      <c r="Z5" s="102"/>
      <c r="AA5" s="107"/>
      <c r="AB5" s="71"/>
      <c r="AC5" s="71"/>
    </row>
    <row r="6" spans="1:29" ht="18.75" x14ac:dyDescent="0.3">
      <c r="A6" s="69">
        <v>10</v>
      </c>
      <c r="B6" s="71"/>
      <c r="C6" s="106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2"/>
      <c r="P6" s="71"/>
      <c r="Q6" s="71"/>
      <c r="R6" s="71"/>
      <c r="S6" s="71"/>
      <c r="T6" s="71"/>
      <c r="U6" s="107"/>
      <c r="V6" s="107"/>
      <c r="W6" s="71"/>
      <c r="X6" s="71"/>
      <c r="Y6" s="71"/>
      <c r="Z6" s="102"/>
      <c r="AA6" s="107"/>
      <c r="AB6" s="71"/>
      <c r="AC6" s="71"/>
    </row>
    <row r="7" spans="1:29" ht="18.75" x14ac:dyDescent="0.3">
      <c r="A7" s="69">
        <v>16</v>
      </c>
      <c r="B7" s="106"/>
      <c r="C7" s="106"/>
      <c r="D7" s="107"/>
      <c r="E7" s="71"/>
      <c r="F7" s="71"/>
      <c r="G7" s="71"/>
      <c r="H7" s="71"/>
      <c r="I7" s="71"/>
      <c r="J7" s="107"/>
      <c r="K7" s="107"/>
      <c r="L7" s="107"/>
      <c r="M7" s="107"/>
      <c r="N7" s="71"/>
      <c r="O7" s="72"/>
      <c r="P7" s="72"/>
      <c r="Q7" s="71"/>
      <c r="R7" s="71"/>
      <c r="S7" s="71"/>
      <c r="T7" s="71"/>
      <c r="U7" s="107"/>
      <c r="V7" s="107"/>
      <c r="W7" s="71"/>
      <c r="X7" s="71"/>
      <c r="Y7" s="71"/>
      <c r="Z7" s="107"/>
      <c r="AA7" s="107"/>
      <c r="AB7" s="71"/>
      <c r="AC7" s="71"/>
    </row>
    <row r="8" spans="1:29" ht="18.75" x14ac:dyDescent="0.3">
      <c r="A8" s="69">
        <v>20</v>
      </c>
      <c r="B8" s="106"/>
      <c r="C8" s="106"/>
      <c r="D8" s="107"/>
      <c r="E8" s="71"/>
      <c r="F8" s="71"/>
      <c r="G8" s="71"/>
      <c r="H8" s="71"/>
      <c r="I8" s="71"/>
      <c r="J8" s="107"/>
      <c r="K8" s="107"/>
      <c r="L8" s="107"/>
      <c r="M8" s="107"/>
      <c r="N8" s="71"/>
      <c r="O8" s="72"/>
      <c r="P8" s="72"/>
      <c r="Q8" s="71"/>
      <c r="R8" s="71"/>
      <c r="S8" s="71"/>
      <c r="T8" s="71"/>
      <c r="U8" s="107"/>
      <c r="V8" s="107"/>
      <c r="W8" s="71"/>
      <c r="X8" s="71"/>
      <c r="Y8" s="71"/>
      <c r="Z8" s="107"/>
      <c r="AA8" s="107"/>
      <c r="AB8" s="71"/>
      <c r="AC8" s="71"/>
    </row>
    <row r="9" spans="1:29" ht="18.75" x14ac:dyDescent="0.3">
      <c r="A9" s="69">
        <v>25</v>
      </c>
      <c r="B9" s="106"/>
      <c r="C9" s="106"/>
      <c r="D9" s="107"/>
      <c r="E9" s="71"/>
      <c r="F9" s="71"/>
      <c r="G9" s="71"/>
      <c r="H9" s="71"/>
      <c r="I9" s="71"/>
      <c r="J9" s="107"/>
      <c r="K9" s="107"/>
      <c r="L9" s="107"/>
      <c r="M9" s="107"/>
      <c r="N9" s="71"/>
      <c r="O9" s="72"/>
      <c r="P9" s="72"/>
      <c r="Q9" s="71"/>
      <c r="R9" s="71"/>
      <c r="S9" s="71"/>
      <c r="T9" s="71"/>
      <c r="U9" s="107"/>
      <c r="V9" s="107"/>
      <c r="W9" s="71"/>
      <c r="X9" s="71"/>
      <c r="Y9" s="71"/>
      <c r="Z9" s="107"/>
      <c r="AA9" s="107"/>
      <c r="AB9" s="71"/>
      <c r="AC9" s="71"/>
    </row>
    <row r="10" spans="1:29" ht="18.75" x14ac:dyDescent="0.3">
      <c r="A10" s="69">
        <v>31.5</v>
      </c>
      <c r="B10" s="106"/>
      <c r="C10" s="106"/>
      <c r="D10" s="107"/>
      <c r="E10" s="71"/>
      <c r="F10" s="71"/>
      <c r="G10" s="71"/>
      <c r="H10" s="71"/>
      <c r="I10" s="71"/>
      <c r="J10" s="107"/>
      <c r="K10" s="107"/>
      <c r="L10" s="107"/>
      <c r="M10" s="107"/>
      <c r="N10" s="71"/>
      <c r="O10" s="72"/>
      <c r="P10" s="72"/>
      <c r="Q10" s="71"/>
      <c r="R10" s="71"/>
      <c r="S10" s="71"/>
      <c r="T10" s="71"/>
      <c r="U10" s="107"/>
      <c r="V10" s="107"/>
      <c r="W10" s="71"/>
      <c r="X10" s="71"/>
      <c r="Y10" s="71"/>
      <c r="Z10" s="107"/>
      <c r="AA10" s="107"/>
      <c r="AB10" s="71"/>
      <c r="AC10" s="71"/>
    </row>
    <row r="11" spans="1:29" ht="18.75" x14ac:dyDescent="0.3">
      <c r="A11" s="69">
        <v>32</v>
      </c>
      <c r="B11" s="106"/>
      <c r="C11" s="106"/>
      <c r="D11" s="107"/>
      <c r="E11" s="71"/>
      <c r="F11" s="71"/>
      <c r="G11" s="71"/>
      <c r="H11" s="71"/>
      <c r="I11" s="71"/>
      <c r="J11" s="107"/>
      <c r="K11" s="107"/>
      <c r="L11" s="107"/>
      <c r="M11" s="107"/>
      <c r="N11" s="71"/>
      <c r="O11" s="72"/>
      <c r="P11" s="72"/>
      <c r="Q11" s="71"/>
      <c r="R11" s="71"/>
      <c r="S11" s="71"/>
      <c r="T11" s="71"/>
      <c r="U11" s="107"/>
      <c r="V11" s="107"/>
      <c r="W11" s="71"/>
      <c r="X11" s="71"/>
      <c r="Y11" s="71"/>
      <c r="Z11" s="107"/>
      <c r="AA11" s="107"/>
      <c r="AB11" s="71"/>
      <c r="AC11" s="71"/>
    </row>
    <row r="12" spans="1:29" ht="18.75" x14ac:dyDescent="0.3">
      <c r="A12" s="69">
        <v>40</v>
      </c>
      <c r="B12" s="106"/>
      <c r="C12" s="106"/>
      <c r="D12" s="107"/>
      <c r="E12" s="71"/>
      <c r="F12" s="71"/>
      <c r="G12" s="71"/>
      <c r="H12" s="71"/>
      <c r="I12" s="71"/>
      <c r="J12" s="107"/>
      <c r="K12" s="107"/>
      <c r="L12" s="107"/>
      <c r="M12" s="107"/>
      <c r="N12" s="71"/>
      <c r="O12" s="72"/>
      <c r="P12" s="72"/>
      <c r="Q12" s="71"/>
      <c r="R12" s="71"/>
      <c r="S12" s="71"/>
      <c r="T12" s="71"/>
      <c r="U12" s="107"/>
      <c r="V12" s="107"/>
      <c r="W12" s="107"/>
      <c r="X12" s="71"/>
      <c r="Y12" s="71"/>
      <c r="Z12" s="107"/>
      <c r="AA12" s="107"/>
      <c r="AB12" s="71"/>
      <c r="AC12" s="71"/>
    </row>
    <row r="13" spans="1:29" ht="18.75" x14ac:dyDescent="0.3">
      <c r="A13" s="69">
        <v>50</v>
      </c>
      <c r="B13" s="106"/>
      <c r="C13" s="106"/>
      <c r="D13" s="107"/>
      <c r="E13" s="71"/>
      <c r="F13" s="71"/>
      <c r="G13" s="71"/>
      <c r="H13" s="71"/>
      <c r="I13" s="71"/>
      <c r="J13" s="107"/>
      <c r="K13" s="107"/>
      <c r="L13" s="107"/>
      <c r="M13" s="107"/>
      <c r="N13" s="71"/>
      <c r="O13" s="72"/>
      <c r="P13" s="72"/>
      <c r="Q13" s="71"/>
      <c r="R13" s="71"/>
      <c r="S13" s="71"/>
      <c r="T13" s="71"/>
      <c r="U13" s="107"/>
      <c r="V13" s="107"/>
      <c r="W13" s="107"/>
      <c r="X13" s="71"/>
      <c r="Y13" s="71"/>
      <c r="Z13" s="107"/>
      <c r="AA13" s="107"/>
      <c r="AB13" s="71"/>
      <c r="AC13" s="71"/>
    </row>
    <row r="14" spans="1:29" ht="18.75" x14ac:dyDescent="0.3">
      <c r="A14" s="69">
        <v>63</v>
      </c>
      <c r="B14" s="106"/>
      <c r="C14" s="106"/>
      <c r="D14" s="107"/>
      <c r="E14" s="71"/>
      <c r="F14" s="71"/>
      <c r="G14" s="71"/>
      <c r="H14" s="71"/>
      <c r="I14" s="71"/>
      <c r="J14" s="107"/>
      <c r="K14" s="107"/>
      <c r="L14" s="107"/>
      <c r="M14" s="107"/>
      <c r="N14" s="71"/>
      <c r="O14" s="72"/>
      <c r="P14" s="72"/>
      <c r="Q14" s="71"/>
      <c r="R14" s="71"/>
      <c r="S14" s="71"/>
      <c r="T14" s="71"/>
      <c r="U14" s="107"/>
      <c r="V14" s="107"/>
      <c r="W14" s="107"/>
      <c r="X14" s="71"/>
      <c r="Y14" s="71"/>
      <c r="Z14" s="107"/>
      <c r="AA14" s="107"/>
      <c r="AB14" s="71"/>
      <c r="AC14" s="71"/>
    </row>
    <row r="15" spans="1:29" ht="18.75" x14ac:dyDescent="0.3">
      <c r="A15" s="69">
        <v>80</v>
      </c>
      <c r="B15" s="106"/>
      <c r="C15" s="71"/>
      <c r="D15" s="107"/>
      <c r="E15" s="71"/>
      <c r="F15" s="71"/>
      <c r="G15" s="71"/>
      <c r="H15" s="71"/>
      <c r="I15" s="71"/>
      <c r="J15" s="107"/>
      <c r="K15" s="107"/>
      <c r="L15" s="107"/>
      <c r="M15" s="107"/>
      <c r="N15" s="71"/>
      <c r="O15" s="72"/>
      <c r="P15" s="72"/>
      <c r="Q15" s="71"/>
      <c r="R15" s="71"/>
      <c r="S15" s="71"/>
      <c r="T15" s="71"/>
      <c r="U15" s="107"/>
      <c r="V15" s="107"/>
      <c r="W15" s="107"/>
      <c r="X15" s="71"/>
      <c r="Y15" s="71"/>
      <c r="Z15" s="107"/>
      <c r="AA15" s="102"/>
      <c r="AB15" s="107"/>
      <c r="AC15" s="71"/>
    </row>
    <row r="16" spans="1:29" ht="18.75" x14ac:dyDescent="0.3">
      <c r="A16" s="69">
        <v>100</v>
      </c>
      <c r="B16" s="106"/>
      <c r="C16" s="71"/>
      <c r="D16" s="107"/>
      <c r="E16" s="71"/>
      <c r="F16" s="71"/>
      <c r="G16" s="71"/>
      <c r="H16" s="71"/>
      <c r="I16" s="71"/>
      <c r="J16" s="107"/>
      <c r="K16" s="107"/>
      <c r="L16" s="107"/>
      <c r="M16" s="107"/>
      <c r="N16" s="71"/>
      <c r="O16" s="72"/>
      <c r="P16" s="72"/>
      <c r="Q16" s="71"/>
      <c r="R16" s="71"/>
      <c r="S16" s="71"/>
      <c r="T16" s="71"/>
      <c r="U16" s="107"/>
      <c r="V16" s="107"/>
      <c r="W16" s="107"/>
      <c r="X16" s="107"/>
      <c r="Y16" s="107"/>
      <c r="Z16" s="107"/>
      <c r="AA16" s="102"/>
      <c r="AB16" s="107"/>
      <c r="AC16" s="71"/>
    </row>
    <row r="17" spans="1:29" ht="18.75" x14ac:dyDescent="0.3">
      <c r="A17" s="69">
        <v>125</v>
      </c>
      <c r="B17" s="106"/>
      <c r="C17" s="71"/>
      <c r="D17" s="107"/>
      <c r="E17" s="71"/>
      <c r="F17" s="71"/>
      <c r="G17" s="71"/>
      <c r="H17" s="71"/>
      <c r="I17" s="71"/>
      <c r="J17" s="71"/>
      <c r="K17" s="71"/>
      <c r="L17" s="107"/>
      <c r="M17" s="107"/>
      <c r="N17" s="71"/>
      <c r="O17" s="72"/>
      <c r="P17" s="72"/>
      <c r="Q17" s="72"/>
      <c r="R17" s="71"/>
      <c r="S17" s="71"/>
      <c r="T17" s="71"/>
      <c r="U17" s="107"/>
      <c r="V17" s="107"/>
      <c r="W17" s="107"/>
      <c r="X17" s="107"/>
      <c r="Y17" s="107"/>
      <c r="Z17" s="107"/>
      <c r="AA17" s="102"/>
      <c r="AB17" s="107"/>
      <c r="AC17" s="71"/>
    </row>
    <row r="18" spans="1:29" ht="18.75" x14ac:dyDescent="0.3">
      <c r="A18" s="69">
        <v>160</v>
      </c>
      <c r="B18" s="106"/>
      <c r="C18" s="71"/>
      <c r="D18" s="107"/>
      <c r="E18" s="71"/>
      <c r="F18" s="71"/>
      <c r="G18" s="71"/>
      <c r="H18" s="71"/>
      <c r="I18" s="71"/>
      <c r="J18" s="71"/>
      <c r="K18" s="71"/>
      <c r="L18" s="107"/>
      <c r="M18" s="107"/>
      <c r="N18" s="71"/>
      <c r="O18" s="71"/>
      <c r="P18" s="72"/>
      <c r="Q18" s="72"/>
      <c r="R18" s="71"/>
      <c r="S18" s="71"/>
      <c r="T18" s="71"/>
      <c r="U18" s="107"/>
      <c r="V18" s="107"/>
      <c r="W18" s="107"/>
      <c r="X18" s="107"/>
      <c r="Y18" s="107"/>
      <c r="Z18" s="107"/>
      <c r="AA18" s="102"/>
      <c r="AB18" s="71"/>
      <c r="AC18" s="71"/>
    </row>
    <row r="19" spans="1:29" ht="18.75" x14ac:dyDescent="0.3">
      <c r="A19" s="69">
        <v>200</v>
      </c>
      <c r="B19" s="106"/>
      <c r="C19" s="71"/>
      <c r="D19" s="107"/>
      <c r="E19" s="71"/>
      <c r="F19" s="71"/>
      <c r="G19" s="71"/>
      <c r="H19" s="71"/>
      <c r="I19" s="71"/>
      <c r="J19" s="71"/>
      <c r="K19" s="71"/>
      <c r="L19" s="107"/>
      <c r="M19" s="107"/>
      <c r="N19" s="71"/>
      <c r="O19" s="71"/>
      <c r="P19" s="71"/>
      <c r="Q19" s="72"/>
      <c r="R19" s="71"/>
      <c r="S19" s="71"/>
      <c r="T19" s="71"/>
      <c r="U19" s="71"/>
      <c r="V19" s="107"/>
      <c r="W19" s="107"/>
      <c r="X19" s="107"/>
      <c r="Y19" s="107"/>
      <c r="Z19" s="107"/>
      <c r="AA19" s="102"/>
      <c r="AB19" s="71"/>
      <c r="AC19" s="71"/>
    </row>
    <row r="20" spans="1:29" ht="18.75" x14ac:dyDescent="0.3">
      <c r="A20" s="69">
        <v>250</v>
      </c>
      <c r="B20" s="106"/>
      <c r="C20" s="71"/>
      <c r="D20" s="107"/>
      <c r="E20" s="107"/>
      <c r="F20" s="107"/>
      <c r="G20" s="107"/>
      <c r="H20" s="71"/>
      <c r="I20" s="71"/>
      <c r="J20" s="71"/>
      <c r="K20" s="71"/>
      <c r="L20" s="107"/>
      <c r="M20" s="107"/>
      <c r="N20" s="107"/>
      <c r="O20" s="71"/>
      <c r="P20" s="71"/>
      <c r="Q20" s="72"/>
      <c r="R20" s="72"/>
      <c r="S20" s="71"/>
      <c r="T20" s="71"/>
      <c r="U20" s="71"/>
      <c r="V20" s="107"/>
      <c r="W20" s="107"/>
      <c r="X20" s="107"/>
      <c r="Y20" s="107"/>
      <c r="Z20" s="107"/>
      <c r="AA20" s="102"/>
      <c r="AB20" s="71"/>
      <c r="AC20" s="71"/>
    </row>
    <row r="21" spans="1:29" ht="18.75" x14ac:dyDescent="0.3">
      <c r="A21" s="69">
        <v>320</v>
      </c>
      <c r="B21" s="106"/>
      <c r="C21" s="71"/>
      <c r="D21" s="107"/>
      <c r="E21" s="107"/>
      <c r="F21" s="107"/>
      <c r="G21" s="107"/>
      <c r="H21" s="71"/>
      <c r="I21" s="71"/>
      <c r="J21" s="71"/>
      <c r="K21" s="71"/>
      <c r="L21" s="71"/>
      <c r="M21" s="71"/>
      <c r="N21" s="107"/>
      <c r="O21" s="71"/>
      <c r="P21" s="71"/>
      <c r="Q21" s="71"/>
      <c r="R21" s="72"/>
      <c r="S21" s="71"/>
      <c r="T21" s="71"/>
      <c r="U21" s="71"/>
      <c r="V21" s="71"/>
      <c r="W21" s="107"/>
      <c r="X21" s="107"/>
      <c r="Y21" s="107"/>
      <c r="Z21" s="71"/>
      <c r="AA21" s="102"/>
      <c r="AB21" s="71"/>
      <c r="AC21" s="71"/>
    </row>
    <row r="22" spans="1:29" ht="18.75" x14ac:dyDescent="0.3">
      <c r="A22" s="69">
        <v>400</v>
      </c>
      <c r="B22" s="106"/>
      <c r="C22" s="71"/>
      <c r="D22" s="107"/>
      <c r="E22" s="107"/>
      <c r="F22" s="107"/>
      <c r="G22" s="107"/>
      <c r="H22" s="71"/>
      <c r="I22" s="71"/>
      <c r="J22" s="71"/>
      <c r="K22" s="71"/>
      <c r="L22" s="71"/>
      <c r="M22" s="71"/>
      <c r="N22" s="107"/>
      <c r="O22" s="71"/>
      <c r="P22" s="71"/>
      <c r="Q22" s="71"/>
      <c r="R22" s="72"/>
      <c r="S22" s="72"/>
      <c r="T22" s="71"/>
      <c r="U22" s="71"/>
      <c r="V22" s="71"/>
      <c r="W22" s="107"/>
      <c r="X22" s="107"/>
      <c r="Y22" s="107"/>
      <c r="Z22" s="71"/>
      <c r="AA22" s="71"/>
      <c r="AB22" s="71"/>
      <c r="AC22" s="71"/>
    </row>
    <row r="23" spans="1:29" ht="18.75" x14ac:dyDescent="0.3">
      <c r="A23" s="69">
        <v>500</v>
      </c>
      <c r="B23" s="71"/>
      <c r="C23" s="71"/>
      <c r="D23" s="71"/>
      <c r="E23" s="107"/>
      <c r="F23" s="107"/>
      <c r="G23" s="107"/>
      <c r="H23" s="71"/>
      <c r="I23" s="71"/>
      <c r="J23" s="71"/>
      <c r="K23" s="71"/>
      <c r="L23" s="71"/>
      <c r="M23" s="71"/>
      <c r="N23" s="107"/>
      <c r="O23" s="71"/>
      <c r="P23" s="71"/>
      <c r="Q23" s="71"/>
      <c r="R23" s="71"/>
      <c r="S23" s="72"/>
      <c r="T23" s="71"/>
      <c r="U23" s="71"/>
      <c r="V23" s="71"/>
      <c r="W23" s="71"/>
      <c r="X23" s="107"/>
      <c r="Y23" s="107"/>
      <c r="Z23" s="71"/>
      <c r="AA23" s="71"/>
      <c r="AB23" s="71"/>
      <c r="AC23" s="71"/>
    </row>
    <row r="24" spans="1:29" ht="18.75" x14ac:dyDescent="0.3">
      <c r="A24" s="69">
        <v>630</v>
      </c>
      <c r="B24" s="71"/>
      <c r="C24" s="71"/>
      <c r="D24" s="71"/>
      <c r="E24" s="107"/>
      <c r="F24" s="107"/>
      <c r="G24" s="107"/>
      <c r="H24" s="71"/>
      <c r="I24" s="71"/>
      <c r="J24" s="71"/>
      <c r="K24" s="71"/>
      <c r="L24" s="71"/>
      <c r="M24" s="71"/>
      <c r="N24" s="107"/>
      <c r="O24" s="71"/>
      <c r="P24" s="71"/>
      <c r="Q24" s="71"/>
      <c r="R24" s="71"/>
      <c r="S24" s="72"/>
      <c r="T24" s="71"/>
      <c r="U24" s="71"/>
      <c r="V24" s="71"/>
      <c r="W24" s="71"/>
      <c r="X24" s="107"/>
      <c r="Y24" s="107"/>
      <c r="Z24" s="71"/>
      <c r="AA24" s="71"/>
      <c r="AB24" s="71"/>
      <c r="AC24" s="71"/>
    </row>
    <row r="25" spans="1:29" ht="18.75" x14ac:dyDescent="0.3">
      <c r="A25" s="69">
        <v>750</v>
      </c>
      <c r="B25" s="71"/>
      <c r="C25" s="71"/>
      <c r="D25" s="71"/>
      <c r="E25" s="72"/>
      <c r="F25" s="107"/>
      <c r="G25" s="107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2"/>
      <c r="T25" s="71"/>
      <c r="U25" s="71"/>
      <c r="V25" s="71"/>
      <c r="W25" s="71"/>
      <c r="X25" s="71"/>
      <c r="Y25" s="107"/>
      <c r="Z25" s="71"/>
      <c r="AA25" s="71"/>
      <c r="AB25" s="71"/>
      <c r="AC25" s="71"/>
    </row>
    <row r="26" spans="1:29" ht="18.75" x14ac:dyDescent="0.3">
      <c r="A26" s="69">
        <v>800</v>
      </c>
      <c r="B26" s="71"/>
      <c r="C26" s="71"/>
      <c r="D26" s="71"/>
      <c r="E26" s="72"/>
      <c r="F26" s="107"/>
      <c r="G26" s="107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2"/>
      <c r="T26" s="71"/>
      <c r="U26" s="71"/>
      <c r="V26" s="71"/>
      <c r="W26" s="71"/>
      <c r="X26" s="71"/>
      <c r="Y26" s="107"/>
      <c r="Z26" s="71"/>
      <c r="AA26" s="71"/>
      <c r="AB26" s="71"/>
      <c r="AC26" s="71"/>
    </row>
    <row r="27" spans="1:29" ht="18.75" x14ac:dyDescent="0.3">
      <c r="A27" s="69">
        <v>1000</v>
      </c>
      <c r="B27" s="71"/>
      <c r="C27" s="71"/>
      <c r="D27" s="71"/>
      <c r="E27" s="71"/>
      <c r="F27" s="107"/>
      <c r="G27" s="107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2"/>
      <c r="U27" s="71"/>
      <c r="V27" s="71"/>
      <c r="W27" s="71"/>
      <c r="X27" s="71"/>
      <c r="Y27" s="107"/>
      <c r="Z27" s="71"/>
      <c r="AA27" s="71"/>
      <c r="AB27" s="71"/>
      <c r="AC27" s="71"/>
    </row>
    <row r="28" spans="1:29" ht="18.75" x14ac:dyDescent="0.3">
      <c r="A28" s="69">
        <v>1250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2"/>
      <c r="U28" s="71"/>
      <c r="V28" s="71"/>
      <c r="W28" s="71"/>
      <c r="X28" s="71"/>
      <c r="Y28" s="107"/>
      <c r="Z28" s="71"/>
      <c r="AA28" s="71"/>
      <c r="AB28" s="71"/>
      <c r="AC28" s="71"/>
    </row>
    <row r="29" spans="1:29" ht="18.75" x14ac:dyDescent="0.3">
      <c r="A29" s="69">
        <v>1600</v>
      </c>
      <c r="B29" s="71"/>
      <c r="C29" s="71"/>
      <c r="D29" s="71"/>
      <c r="E29" s="71"/>
      <c r="F29" s="71"/>
      <c r="G29" s="71"/>
      <c r="H29" s="107"/>
      <c r="I29" s="107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2"/>
      <c r="U29" s="71"/>
      <c r="V29" s="71"/>
      <c r="W29" s="71"/>
      <c r="X29" s="71"/>
      <c r="Y29" s="107"/>
      <c r="Z29" s="71"/>
      <c r="AA29" s="71"/>
      <c r="AB29" s="71"/>
      <c r="AC29" s="71"/>
    </row>
    <row r="30" spans="1:29" ht="18.75" x14ac:dyDescent="0.3">
      <c r="A30" s="69">
        <v>2000</v>
      </c>
      <c r="B30" s="71"/>
      <c r="C30" s="71"/>
      <c r="D30" s="71"/>
      <c r="E30" s="71"/>
      <c r="F30" s="71"/>
      <c r="G30" s="71"/>
      <c r="H30" s="107"/>
      <c r="I30" s="107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</row>
    <row r="31" spans="1:29" x14ac:dyDescent="0.25">
      <c r="A31" s="69">
        <v>2500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</row>
    <row r="32" spans="1:29" x14ac:dyDescent="0.25">
      <c r="A32" s="147" t="s">
        <v>167</v>
      </c>
      <c r="M32" t="s">
        <v>279</v>
      </c>
    </row>
    <row r="33" spans="1:6" x14ac:dyDescent="0.25">
      <c r="A33" s="153" t="s">
        <v>214</v>
      </c>
      <c r="B33" s="71"/>
      <c r="E33" s="71" t="s">
        <v>214</v>
      </c>
      <c r="F33" s="71"/>
    </row>
    <row r="34" spans="1:6" ht="18.75" x14ac:dyDescent="0.3">
      <c r="A34" s="73" t="s">
        <v>19</v>
      </c>
      <c r="B34" s="71"/>
      <c r="E34" s="108" t="s">
        <v>242</v>
      </c>
      <c r="F34" s="149"/>
    </row>
    <row r="35" spans="1:6" ht="18.75" x14ac:dyDescent="0.3">
      <c r="A35" s="154" t="s">
        <v>25</v>
      </c>
      <c r="B35" s="149"/>
      <c r="E35" s="108" t="s">
        <v>210</v>
      </c>
      <c r="F35" s="149"/>
    </row>
    <row r="36" spans="1:6" ht="18.75" x14ac:dyDescent="0.3">
      <c r="A36" s="154" t="s">
        <v>26</v>
      </c>
      <c r="B36" s="149"/>
      <c r="E36" s="108" t="s">
        <v>21</v>
      </c>
      <c r="F36" s="149"/>
    </row>
    <row r="37" spans="1:6" ht="18.75" x14ac:dyDescent="0.3">
      <c r="A37" s="154" t="s">
        <v>27</v>
      </c>
      <c r="B37" s="149"/>
      <c r="E37" s="108" t="s">
        <v>20</v>
      </c>
      <c r="F37" s="149"/>
    </row>
    <row r="38" spans="1:6" ht="18.75" x14ac:dyDescent="0.3">
      <c r="A38" s="154" t="s">
        <v>28</v>
      </c>
      <c r="B38" s="149"/>
      <c r="E38" s="108" t="s">
        <v>286</v>
      </c>
      <c r="F38" s="149"/>
    </row>
    <row r="39" spans="1:6" ht="18.75" x14ac:dyDescent="0.3">
      <c r="A39" s="154" t="s">
        <v>125</v>
      </c>
      <c r="B39" s="149"/>
      <c r="E39" s="95"/>
      <c r="F39" s="71"/>
    </row>
    <row r="40" spans="1:6" ht="18.75" x14ac:dyDescent="0.3">
      <c r="A40" s="154" t="s">
        <v>295</v>
      </c>
      <c r="B40" s="149"/>
      <c r="E40" s="95"/>
      <c r="F40" s="71"/>
    </row>
    <row r="41" spans="1:6" ht="21" x14ac:dyDescent="0.35">
      <c r="A41" s="93" t="s">
        <v>215</v>
      </c>
    </row>
    <row r="42" spans="1:6" x14ac:dyDescent="0.25">
      <c r="A42" s="92" t="s">
        <v>216</v>
      </c>
      <c r="B42" s="92"/>
    </row>
    <row r="43" spans="1:6" x14ac:dyDescent="0.25">
      <c r="A43" s="94" t="s">
        <v>19</v>
      </c>
      <c r="B43" s="72"/>
    </row>
    <row r="44" spans="1:6" x14ac:dyDescent="0.25">
      <c r="A44" s="94" t="s">
        <v>73</v>
      </c>
      <c r="B44" s="72"/>
    </row>
    <row r="45" spans="1:6" x14ac:dyDescent="0.25">
      <c r="A45" s="95" t="s">
        <v>187</v>
      </c>
      <c r="B45" s="72"/>
    </row>
    <row r="46" spans="1:6" x14ac:dyDescent="0.25">
      <c r="A46" s="95" t="s">
        <v>217</v>
      </c>
      <c r="B46" s="72"/>
    </row>
    <row r="47" spans="1:6" x14ac:dyDescent="0.25">
      <c r="A47" s="95" t="s">
        <v>218</v>
      </c>
      <c r="B47" s="72"/>
    </row>
    <row r="48" spans="1:6" x14ac:dyDescent="0.25">
      <c r="A48" s="95" t="s">
        <v>219</v>
      </c>
      <c r="B48" s="72"/>
    </row>
    <row r="49" spans="1:2" x14ac:dyDescent="0.25">
      <c r="A49" s="95" t="s">
        <v>220</v>
      </c>
      <c r="B49" s="72"/>
    </row>
    <row r="50" spans="1:2" x14ac:dyDescent="0.25">
      <c r="A50" s="95" t="s">
        <v>221</v>
      </c>
      <c r="B50" s="72"/>
    </row>
    <row r="51" spans="1:2" x14ac:dyDescent="0.25">
      <c r="A51" s="95" t="s">
        <v>222</v>
      </c>
      <c r="B51" s="72"/>
    </row>
    <row r="52" spans="1:2" x14ac:dyDescent="0.25">
      <c r="A52" s="95" t="s">
        <v>223</v>
      </c>
      <c r="B52" s="72"/>
    </row>
    <row r="53" spans="1:2" x14ac:dyDescent="0.25">
      <c r="A53" s="95" t="s">
        <v>224</v>
      </c>
      <c r="B53" s="72"/>
    </row>
    <row r="54" spans="1:2" x14ac:dyDescent="0.25">
      <c r="A54" s="95" t="s">
        <v>225</v>
      </c>
      <c r="B54" s="72"/>
    </row>
    <row r="55" spans="1:2" x14ac:dyDescent="0.25">
      <c r="A55" s="95" t="s">
        <v>226</v>
      </c>
      <c r="B55" s="72"/>
    </row>
    <row r="56" spans="1:2" x14ac:dyDescent="0.25">
      <c r="A56" s="95" t="s">
        <v>281</v>
      </c>
      <c r="B56" s="72"/>
    </row>
    <row r="57" spans="1:2" x14ac:dyDescent="0.25">
      <c r="A57" s="95" t="s">
        <v>227</v>
      </c>
      <c r="B57" s="72"/>
    </row>
    <row r="58" spans="1:2" x14ac:dyDescent="0.25">
      <c r="A58" s="95" t="s">
        <v>228</v>
      </c>
      <c r="B58" s="72"/>
    </row>
    <row r="59" spans="1:2" x14ac:dyDescent="0.25">
      <c r="A59" s="105" t="s">
        <v>238</v>
      </c>
      <c r="B59" s="72"/>
    </row>
    <row r="60" spans="1:2" x14ac:dyDescent="0.25">
      <c r="A60" s="105" t="s">
        <v>239</v>
      </c>
      <c r="B60" s="72"/>
    </row>
    <row r="61" spans="1:2" x14ac:dyDescent="0.25">
      <c r="A61" s="105" t="s">
        <v>240</v>
      </c>
      <c r="B61" s="72"/>
    </row>
    <row r="62" spans="1:2" x14ac:dyDescent="0.25">
      <c r="A62" s="105" t="s">
        <v>143</v>
      </c>
      <c r="B62" s="136"/>
    </row>
    <row r="63" spans="1:2" x14ac:dyDescent="0.25">
      <c r="A63" s="148" t="s">
        <v>282</v>
      </c>
      <c r="B63" s="139"/>
    </row>
    <row r="64" spans="1:2" x14ac:dyDescent="0.25">
      <c r="A64" s="105" t="s">
        <v>274</v>
      </c>
      <c r="B64" s="136"/>
    </row>
    <row r="65" spans="1:3" x14ac:dyDescent="0.25">
      <c r="A65" s="137" t="s">
        <v>128</v>
      </c>
      <c r="B65" s="138"/>
    </row>
    <row r="66" spans="1:3" x14ac:dyDescent="0.25">
      <c r="A66" s="105" t="s">
        <v>241</v>
      </c>
      <c r="B66" s="136"/>
    </row>
    <row r="67" spans="1:3" x14ac:dyDescent="0.25">
      <c r="A67" s="105" t="s">
        <v>243</v>
      </c>
      <c r="B67" s="139"/>
    </row>
    <row r="68" spans="1:3" x14ac:dyDescent="0.25">
      <c r="A68" s="105" t="s">
        <v>244</v>
      </c>
      <c r="B68" s="139"/>
    </row>
    <row r="69" spans="1:3" x14ac:dyDescent="0.25">
      <c r="A69" s="105" t="s">
        <v>254</v>
      </c>
      <c r="B69" s="139"/>
    </row>
    <row r="70" spans="1:3" x14ac:dyDescent="0.25">
      <c r="A70" s="105" t="s">
        <v>245</v>
      </c>
      <c r="B70" s="139"/>
    </row>
    <row r="71" spans="1:3" x14ac:dyDescent="0.25">
      <c r="A71" s="105" t="s">
        <v>246</v>
      </c>
      <c r="B71" s="139"/>
    </row>
    <row r="72" spans="1:3" x14ac:dyDescent="0.25">
      <c r="A72" s="105" t="s">
        <v>247</v>
      </c>
      <c r="B72" s="139"/>
    </row>
    <row r="73" spans="1:3" x14ac:dyDescent="0.25">
      <c r="A73" s="105" t="s">
        <v>248</v>
      </c>
      <c r="B73" s="139"/>
    </row>
    <row r="74" spans="1:3" x14ac:dyDescent="0.25">
      <c r="A74" s="105" t="s">
        <v>249</v>
      </c>
      <c r="B74" s="139"/>
    </row>
    <row r="75" spans="1:3" x14ac:dyDescent="0.25">
      <c r="A75" s="105" t="s">
        <v>250</v>
      </c>
      <c r="B75" s="139"/>
    </row>
    <row r="76" spans="1:3" x14ac:dyDescent="0.25">
      <c r="A76" s="105" t="s">
        <v>251</v>
      </c>
      <c r="B76" s="139"/>
    </row>
    <row r="77" spans="1:3" x14ac:dyDescent="0.25">
      <c r="A77" s="105" t="s">
        <v>252</v>
      </c>
      <c r="B77" s="139"/>
    </row>
    <row r="78" spans="1:3" x14ac:dyDescent="0.25">
      <c r="A78" s="105" t="s">
        <v>253</v>
      </c>
      <c r="B78" s="139"/>
      <c r="C78" t="s">
        <v>261</v>
      </c>
    </row>
    <row r="79" spans="1:3" x14ac:dyDescent="0.25">
      <c r="A79" s="140" t="s">
        <v>260</v>
      </c>
      <c r="B79" s="71"/>
      <c r="C79" t="s">
        <v>261</v>
      </c>
    </row>
    <row r="80" spans="1:3" x14ac:dyDescent="0.25">
      <c r="A80" s="140" t="s">
        <v>255</v>
      </c>
      <c r="B80" s="71"/>
    </row>
    <row r="81" spans="1:3" ht="45" x14ac:dyDescent="0.25">
      <c r="A81" s="141" t="s">
        <v>256</v>
      </c>
      <c r="B81" s="71"/>
    </row>
    <row r="82" spans="1:3" x14ac:dyDescent="0.25">
      <c r="A82" s="140" t="s">
        <v>263</v>
      </c>
      <c r="B82" s="71"/>
    </row>
    <row r="83" spans="1:3" x14ac:dyDescent="0.25">
      <c r="A83" s="140" t="s">
        <v>262</v>
      </c>
      <c r="B83" s="71"/>
    </row>
    <row r="84" spans="1:3" x14ac:dyDescent="0.25">
      <c r="A84" s="140" t="s">
        <v>264</v>
      </c>
      <c r="B84" s="71"/>
    </row>
    <row r="85" spans="1:3" x14ac:dyDescent="0.25">
      <c r="A85" s="140" t="s">
        <v>265</v>
      </c>
      <c r="B85" s="71"/>
    </row>
    <row r="86" spans="1:3" x14ac:dyDescent="0.25">
      <c r="A86" s="140" t="s">
        <v>266</v>
      </c>
      <c r="B86" s="71"/>
    </row>
    <row r="87" spans="1:3" x14ac:dyDescent="0.25">
      <c r="A87" s="140" t="s">
        <v>267</v>
      </c>
      <c r="B87" s="71"/>
    </row>
    <row r="88" spans="1:3" x14ac:dyDescent="0.25">
      <c r="A88" s="140" t="s">
        <v>268</v>
      </c>
      <c r="B88" s="71"/>
    </row>
    <row r="89" spans="1:3" x14ac:dyDescent="0.25">
      <c r="A89" s="142" t="s">
        <v>269</v>
      </c>
      <c r="B89" s="143"/>
      <c r="C89" t="s">
        <v>272</v>
      </c>
    </row>
    <row r="90" spans="1:3" x14ac:dyDescent="0.25">
      <c r="A90" s="142" t="s">
        <v>270</v>
      </c>
      <c r="B90" s="71"/>
      <c r="C90" t="s">
        <v>272</v>
      </c>
    </row>
    <row r="91" spans="1:3" x14ac:dyDescent="0.25">
      <c r="A91" t="s">
        <v>271</v>
      </c>
      <c r="B91" s="144"/>
    </row>
    <row r="92" spans="1:3" x14ac:dyDescent="0.25">
      <c r="A92" s="145" t="s">
        <v>273</v>
      </c>
      <c r="B92" s="14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68</vt:i4>
      </vt:variant>
    </vt:vector>
  </HeadingPairs>
  <TitlesOfParts>
    <vt:vector size="71" baseType="lpstr">
      <vt:lpstr>ОЛ</vt:lpstr>
      <vt:lpstr>Списки</vt:lpstr>
      <vt:lpstr>автоматы и токи</vt:lpstr>
      <vt:lpstr>GSM</vt:lpstr>
      <vt:lpstr>Iномввод</vt:lpstr>
      <vt:lpstr>IномОЛ</vt:lpstr>
      <vt:lpstr>Iномрв</vt:lpstr>
      <vt:lpstr>Iномсекц</vt:lpstr>
      <vt:lpstr>OptiBlock0</vt:lpstr>
      <vt:lpstr>OptiBlock1</vt:lpstr>
      <vt:lpstr>OptiBlock2</vt:lpstr>
      <vt:lpstr>OptiBlock3</vt:lpstr>
      <vt:lpstr>OptidinBM125</vt:lpstr>
      <vt:lpstr>OptidinBM63</vt:lpstr>
      <vt:lpstr>OptiMatD</vt:lpstr>
      <vt:lpstr>OptiMatE</vt:lpstr>
      <vt:lpstr>Uном</vt:lpstr>
      <vt:lpstr>автоматы</vt:lpstr>
      <vt:lpstr>Амперметры</vt:lpstr>
      <vt:lpstr>ВА0436</vt:lpstr>
      <vt:lpstr>ВА4729</vt:lpstr>
      <vt:lpstr>ВА5135</vt:lpstr>
      <vt:lpstr>ВА5139</vt:lpstr>
      <vt:lpstr>ВА5341</vt:lpstr>
      <vt:lpstr>ВА5343</vt:lpstr>
      <vt:lpstr>ВА5541</vt:lpstr>
      <vt:lpstr>ВА5543</vt:lpstr>
      <vt:lpstr>ВА5731</vt:lpstr>
      <vt:lpstr>ВА5735</vt:lpstr>
      <vt:lpstr>ВА5739</vt:lpstr>
      <vt:lpstr>ВА57Ф31</vt:lpstr>
      <vt:lpstr>ВА57Ф35</vt:lpstr>
      <vt:lpstr>ВА8832</vt:lpstr>
      <vt:lpstr>ВА8833</vt:lpstr>
      <vt:lpstr>ВА8835</vt:lpstr>
      <vt:lpstr>ВА8837</vt:lpstr>
      <vt:lpstr>ВА8840</vt:lpstr>
      <vt:lpstr>ВА8843</vt:lpstr>
      <vt:lpstr>ВентТО</vt:lpstr>
      <vt:lpstr>ВНАп</vt:lpstr>
      <vt:lpstr>ВоздухКабель</vt:lpstr>
      <vt:lpstr>Вольтметр</vt:lpstr>
      <vt:lpstr>Выключательввод</vt:lpstr>
      <vt:lpstr>Климат</vt:lpstr>
      <vt:lpstr>КолОЛ</vt:lpstr>
      <vt:lpstr>Колтр</vt:lpstr>
      <vt:lpstr>Комм</vt:lpstr>
      <vt:lpstr>МГ</vt:lpstr>
      <vt:lpstr>Мощность</vt:lpstr>
      <vt:lpstr>НЕТ</vt:lpstr>
      <vt:lpstr>ОПНВН10</vt:lpstr>
      <vt:lpstr>ОПНВН6</vt:lpstr>
      <vt:lpstr>ОПННН</vt:lpstr>
      <vt:lpstr>ПКТ</vt:lpstr>
      <vt:lpstr>ПКТ10</vt:lpstr>
      <vt:lpstr>ПКТ6</vt:lpstr>
      <vt:lpstr>Предохранитель</vt:lpstr>
      <vt:lpstr>разъединительввод</vt:lpstr>
      <vt:lpstr>Разъедсекц</vt:lpstr>
      <vt:lpstr>Схематр</vt:lpstr>
      <vt:lpstr>Счетчик</vt:lpstr>
      <vt:lpstr>ТипОЛ</vt:lpstr>
      <vt:lpstr>ТипСекц</vt:lpstr>
      <vt:lpstr>Типсчетчика</vt:lpstr>
      <vt:lpstr>Типтр</vt:lpstr>
      <vt:lpstr>Тртока</vt:lpstr>
      <vt:lpstr>Тртокаввод</vt:lpstr>
      <vt:lpstr>ТТОЛ</vt:lpstr>
      <vt:lpstr>Тупиковая</vt:lpstr>
      <vt:lpstr>Фидер</vt:lpstr>
      <vt:lpstr>Фотореле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Кураксин Евгений Сергеевич</cp:lastModifiedBy>
  <cp:lastPrinted>2022-10-19T05:53:55Z</cp:lastPrinted>
  <dcterms:created xsi:type="dcterms:W3CDTF">2017-02-07T04:37:51Z</dcterms:created>
  <dcterms:modified xsi:type="dcterms:W3CDTF">2026-05-21T11:19:07Z</dcterms:modified>
</cp:coreProperties>
</file>