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-12" windowWidth="11616" windowHeight="9612" tabRatio="609"/>
  </bookViews>
  <sheets>
    <sheet name="ОЛ" sheetId="1" r:id="rId1"/>
    <sheet name="Списки" sheetId="2" state="hidden" r:id="rId2"/>
    <sheet name="автоматы и токи" sheetId="3" state="hidden" r:id="rId3"/>
  </sheets>
  <definedNames>
    <definedName name="GSM">Списки!$D$54:$I$54</definedName>
    <definedName name="Iномввод">Списки!$C$31:$M$31</definedName>
    <definedName name="IномОЛ">Списки!$C$45:$U$45</definedName>
    <definedName name="Iномрв">Списки!$C$29:$G$29</definedName>
    <definedName name="Iномсекц">Списки!$C$39:$L$39</definedName>
    <definedName name="OptidinBM125">'автоматы и токи'!$A$15:$A$17</definedName>
    <definedName name="OptidinBM63">'автоматы и токи'!$A$2:$A$14</definedName>
    <definedName name="OptiMatD">'автоматы и токи'!$A$16:$A$29</definedName>
    <definedName name="OptiMatE">'автоматы и токи'!$A$7:$A$20</definedName>
    <definedName name="Uном">Списки!$C$12:$D$12</definedName>
    <definedName name="ав">#REF!</definedName>
    <definedName name="автоматы">'автоматы и токи'!$B$1:$AC$1</definedName>
    <definedName name="Амперметры">Списки!$C$34:$D$34</definedName>
    <definedName name="ВА0436">'автоматы и токи'!$A$7:$A$22</definedName>
    <definedName name="ВА4729">'автоматы и токи'!$A$2:$A$14</definedName>
    <definedName name="ВА5135">'автоматы и токи'!$A$7:$A$22</definedName>
    <definedName name="ВА5139">'автоматы и токи'!$A$20:$A$24</definedName>
    <definedName name="ВА5341">'автоматы и токи'!$A$20:$A$27</definedName>
    <definedName name="ВА5343">'автоматы и токи'!$A$29:$A$30</definedName>
    <definedName name="ВА5541">'автоматы и токи'!$A$20:$A$27</definedName>
    <definedName name="ВА5543">'автоматы и токи'!$A$29:$A$30</definedName>
    <definedName name="ВА5731">'автоматы и токи'!$A$7:$A$16</definedName>
    <definedName name="ВА5735">'автоматы и токи'!$A$7:$A$20</definedName>
    <definedName name="ВА5739">'автоматы и токи'!$A$20:$A$24</definedName>
    <definedName name="ВА57Ф31">'автоматы и токи'!$A$7:$A$16</definedName>
    <definedName name="ВА57Ф35">'автоматы и токи'!$A$7:$A$20</definedName>
    <definedName name="ВА8832">'автоматы и токи'!$A$6:$A$17</definedName>
    <definedName name="ВА8833">'автоматы и токи'!$A$7:$A$18</definedName>
    <definedName name="ВА8835">'автоматы и токи'!$A$17:$A$20</definedName>
    <definedName name="ВА8837">'автоматы и токи'!$A$20:$A$22</definedName>
    <definedName name="ВА8840">'автоматы и токи'!$A$22:$A$26</definedName>
    <definedName name="ВА8843">'автоматы и токи'!$A$27:$A$29</definedName>
    <definedName name="ВентТО">Списки!$C$9:$D$9</definedName>
    <definedName name="ВНАп">Списки!$C$18:$G$18</definedName>
    <definedName name="ВоздухКабель">Списки!$C$13:$D$13</definedName>
    <definedName name="Вольтметр">Списки!$C$33:$D$33</definedName>
    <definedName name="Выключательввод">Списки!$C$30:$L$30</definedName>
    <definedName name="Климат">Списки!$C$15:$D$15</definedName>
    <definedName name="КолОЛ">Списки!$C$46:$X$46</definedName>
    <definedName name="Колтр">Списки!$C$7:$D$7</definedName>
    <definedName name="Комм">Списки!$C$55:$S$55</definedName>
    <definedName name="МГ">Списки!$C$17:$D$17</definedName>
    <definedName name="модуль">#REF!</definedName>
    <definedName name="Мощность">Списки!$C$8:$K$8</definedName>
    <definedName name="НЕТ">'автоматы и токи'!$A$32</definedName>
    <definedName name="опн">#REF!</definedName>
    <definedName name="ОПНВН10">Списки!$M$16:$V$16</definedName>
    <definedName name="ОПНВН6">Списки!$C$16:$L$16</definedName>
    <definedName name="ОПННН">Списки!$C$35:$H$35</definedName>
    <definedName name="ПКТ">Списки!$C$23:$K$23</definedName>
    <definedName name="ПКТ10">Списки!$C$24:$L$24</definedName>
    <definedName name="ПКТ6">Списки!$C$23:$L$23</definedName>
    <definedName name="Предохранитель">Списки!$C$23:$K$24</definedName>
    <definedName name="разъединительввод">Списки!$C$28:$H$28</definedName>
    <definedName name="Разъедсекц">Списки!$C$40:$H$40</definedName>
    <definedName name="РБК0">'автоматы и токи'!$A$2:$A$18</definedName>
    <definedName name="РБК1">'автоматы и токи'!$A$2:$A$20</definedName>
    <definedName name="РБК2">'автоматы и токи'!$A$12:$A$22</definedName>
    <definedName name="РБК3">'автоматы и токи'!$A$16:$A$24</definedName>
    <definedName name="рвн">#REF!</definedName>
    <definedName name="ре19">#REF!</definedName>
    <definedName name="Схематр">Списки!$C$11:$F$11</definedName>
    <definedName name="Счетчик">Списки!$C$53:$AA$53</definedName>
    <definedName name="Тип">#REF!</definedName>
    <definedName name="ТипОЛ">Списки!$C$44:$O$44</definedName>
    <definedName name="ТипСекц">Списки!$C$38:$H$38</definedName>
    <definedName name="Типсчетчика">Списки!$C$52:$F$52</definedName>
    <definedName name="Типтр">Списки!$C$10:$G$10</definedName>
    <definedName name="Тртока">Списки!$G$32:$W$32</definedName>
    <definedName name="Тртокаввод">Списки!$C$32:$F$32</definedName>
    <definedName name="тсн">#REF!</definedName>
    <definedName name="тт">#REF!</definedName>
    <definedName name="ТТОЛ">Списки!$C$48:$D$48</definedName>
    <definedName name="Тупиковая">Списки!$C$6:$D$6</definedName>
    <definedName name="увн">#REF!</definedName>
    <definedName name="Фидер">Списки!$C$61:$I$61</definedName>
    <definedName name="Фотореле">Списки!$C$62:$F$62</definedName>
  </definedNames>
  <calcPr calcId="145621"/>
</workbook>
</file>

<file path=xl/calcChain.xml><?xml version="1.0" encoding="utf-8"?>
<calcChain xmlns="http://schemas.openxmlformats.org/spreadsheetml/2006/main">
  <c r="C40" i="1" l="1"/>
  <c r="E82" i="2" l="1"/>
  <c r="E70" i="2"/>
  <c r="E69" i="2"/>
  <c r="G70" i="2" l="1"/>
  <c r="G72" i="2"/>
  <c r="G69" i="2"/>
  <c r="G71" i="2"/>
  <c r="E87" i="2" l="1"/>
  <c r="E86" i="2"/>
  <c r="E84" i="2"/>
  <c r="E83" i="2"/>
  <c r="E75" i="2"/>
  <c r="E74" i="2"/>
  <c r="E72" i="2"/>
  <c r="E71" i="2"/>
  <c r="C81" i="2"/>
  <c r="C69" i="2"/>
  <c r="K16" i="1" l="1"/>
  <c r="K15" i="1"/>
  <c r="L30" i="1" l="1"/>
  <c r="K21" i="1" l="1"/>
  <c r="K18" i="1"/>
  <c r="P29" i="1" l="1"/>
  <c r="C25" i="1"/>
  <c r="E85" i="2" l="1"/>
  <c r="E81" i="2"/>
  <c r="C83" i="2"/>
  <c r="C82" i="2" l="1"/>
  <c r="E79" i="2"/>
  <c r="E67" i="2"/>
  <c r="E89" i="2" l="1"/>
  <c r="C89" i="2"/>
  <c r="G73" i="2"/>
  <c r="G76" i="2"/>
  <c r="G74" i="2"/>
  <c r="G75" i="2"/>
  <c r="B54" i="1" l="1"/>
  <c r="E73" i="2"/>
  <c r="C71" i="2"/>
  <c r="C70" i="2"/>
  <c r="G77" i="2" l="1"/>
  <c r="E77" i="2"/>
  <c r="K36" i="1"/>
  <c r="N36" i="1"/>
  <c r="D36" i="1"/>
  <c r="C36" i="1"/>
  <c r="E36" i="1"/>
  <c r="K27" i="1"/>
  <c r="I36" i="1"/>
  <c r="J36" i="1"/>
  <c r="H36" i="1"/>
  <c r="M36" i="1"/>
  <c r="F36" i="1"/>
  <c r="G36" i="1"/>
  <c r="L36" i="1"/>
  <c r="H22" i="2" l="1"/>
  <c r="H23" i="2" s="1"/>
  <c r="H25" i="2"/>
  <c r="K19" i="1"/>
  <c r="K20" i="1"/>
  <c r="C99" i="2"/>
  <c r="C98" i="2"/>
  <c r="C97" i="2"/>
  <c r="D19" i="2"/>
  <c r="E19" i="2"/>
  <c r="F19" i="2"/>
  <c r="G19" i="2"/>
  <c r="H19" i="2"/>
  <c r="I19" i="2"/>
  <c r="K19" i="2"/>
  <c r="C19" i="2"/>
  <c r="G22" i="1" s="1"/>
  <c r="H24" i="2" l="1"/>
  <c r="C103" i="2"/>
  <c r="K11" i="1"/>
  <c r="A7" i="2" l="1"/>
  <c r="C62" i="1" s="1"/>
  <c r="K9" i="1"/>
  <c r="K8" i="1"/>
  <c r="C77" i="2"/>
  <c r="B53" i="1" s="1"/>
</calcChain>
</file>

<file path=xl/sharedStrings.xml><?xml version="1.0" encoding="utf-8"?>
<sst xmlns="http://schemas.openxmlformats.org/spreadsheetml/2006/main" count="428" uniqueCount="268">
  <si>
    <t>Киосковая</t>
  </si>
  <si>
    <t>Тупиковая</t>
  </si>
  <si>
    <t>Проходная</t>
  </si>
  <si>
    <t>Количество трансформаторов</t>
  </si>
  <si>
    <t>Мощность тр-ра (кВА)</t>
  </si>
  <si>
    <t>Тип трансформатора</t>
  </si>
  <si>
    <t>ТМГ</t>
  </si>
  <si>
    <t>Схема соед обмоток</t>
  </si>
  <si>
    <t>Д/Ун-11</t>
  </si>
  <si>
    <t>У/Ун-0</t>
  </si>
  <si>
    <t>У/Zн</t>
  </si>
  <si>
    <t>Номинальное напряжение на стороне ВН (кВ)</t>
  </si>
  <si>
    <t>Тип ввода ВН</t>
  </si>
  <si>
    <t>Воздух</t>
  </si>
  <si>
    <t>Кабель</t>
  </si>
  <si>
    <t>Тип вывода НН</t>
  </si>
  <si>
    <t>Да</t>
  </si>
  <si>
    <t>Нет</t>
  </si>
  <si>
    <t>Тип аппарата ВН</t>
  </si>
  <si>
    <t>НЕТ</t>
  </si>
  <si>
    <t>РВЗ</t>
  </si>
  <si>
    <t>РЛК</t>
  </si>
  <si>
    <t>ПКТ</t>
  </si>
  <si>
    <t>ОПН ВН</t>
  </si>
  <si>
    <t>Тип разъединителя</t>
  </si>
  <si>
    <t>РЕ 19-35</t>
  </si>
  <si>
    <t>РЕ 19-37</t>
  </si>
  <si>
    <t>РЕ 19-39</t>
  </si>
  <si>
    <t>РЕ 19-41</t>
  </si>
  <si>
    <t>Номинальный ток, А</t>
  </si>
  <si>
    <t>Сторона НН (Ввод)</t>
  </si>
  <si>
    <t>Тип выключателя</t>
  </si>
  <si>
    <t>ВА 04-36</t>
  </si>
  <si>
    <t>ВА 55-41</t>
  </si>
  <si>
    <t>Наличие ТТ</t>
  </si>
  <si>
    <t>0,5s</t>
  </si>
  <si>
    <t>Наличие вольтметра</t>
  </si>
  <si>
    <t>ОПН НН</t>
  </si>
  <si>
    <t>Тупиковая/Проходная</t>
  </si>
  <si>
    <t>ВНАп</t>
  </si>
  <si>
    <t>Тип КТП</t>
  </si>
  <si>
    <t>Сторона НН (отходящие линии)</t>
  </si>
  <si>
    <t>Автоматический выключатель, тип</t>
  </si>
  <si>
    <t>Количество</t>
  </si>
  <si>
    <t>Итого количество:</t>
  </si>
  <si>
    <t>Трансформаторы тока на отходящих линиях</t>
  </si>
  <si>
    <t>ВА 51-39</t>
  </si>
  <si>
    <t>Организация</t>
  </si>
  <si>
    <t>Контактное лицо</t>
  </si>
  <si>
    <t>Контактный телефон</t>
  </si>
  <si>
    <t>Наличие амперметров</t>
  </si>
  <si>
    <t>Номинальное напряжение ВН (кВ)</t>
  </si>
  <si>
    <t>Тр. тока на отходящих линиях</t>
  </si>
  <si>
    <t>сумма</t>
  </si>
  <si>
    <t>Количество, шт.</t>
  </si>
  <si>
    <t>Примечания</t>
  </si>
  <si>
    <t>Климатическое исполнение</t>
  </si>
  <si>
    <t>У1</t>
  </si>
  <si>
    <t>УХЛ1</t>
  </si>
  <si>
    <t>Фидер уличного освещения</t>
  </si>
  <si>
    <t>Тип счетчика эл. эн.</t>
  </si>
  <si>
    <t>Марка счетчика эл. эн.</t>
  </si>
  <si>
    <t xml:space="preserve">Обозначение: </t>
  </si>
  <si>
    <t xml:space="preserve">Опросный лист для КТПК в металлическом корпусе </t>
  </si>
  <si>
    <t>Активный</t>
  </si>
  <si>
    <t>Реактивный</t>
  </si>
  <si>
    <t>Активно-реактивный</t>
  </si>
  <si>
    <t>ФР-М01-1-15 УХЛ 2</t>
  </si>
  <si>
    <t>Другое</t>
  </si>
  <si>
    <t>ВА 47-29 3Р,  16 А</t>
  </si>
  <si>
    <t>Фотореле уличного освещения, тип</t>
  </si>
  <si>
    <t>GSM-модем</t>
  </si>
  <si>
    <t>Коммуникатор</t>
  </si>
  <si>
    <t>Другой</t>
  </si>
  <si>
    <t>Трансформаторы тока, кл. точн/Iн</t>
  </si>
  <si>
    <t>/</t>
  </si>
  <si>
    <t>50/5</t>
  </si>
  <si>
    <t>75/5</t>
  </si>
  <si>
    <t>100/5</t>
  </si>
  <si>
    <t>150/5</t>
  </si>
  <si>
    <t>200/5</t>
  </si>
  <si>
    <t>80/5</t>
  </si>
  <si>
    <t>250/5</t>
  </si>
  <si>
    <t>300/5</t>
  </si>
  <si>
    <t>400/5</t>
  </si>
  <si>
    <t>500/5</t>
  </si>
  <si>
    <t>600/5</t>
  </si>
  <si>
    <t>750/5</t>
  </si>
  <si>
    <t>800/5</t>
  </si>
  <si>
    <t>1000/5</t>
  </si>
  <si>
    <t>1200/5</t>
  </si>
  <si>
    <t>1500/5</t>
  </si>
  <si>
    <t>ВА 57-39</t>
  </si>
  <si>
    <t>Габариты</t>
  </si>
  <si>
    <t>длина</t>
  </si>
  <si>
    <t>ширина</t>
  </si>
  <si>
    <t>высота</t>
  </si>
  <si>
    <t>Принудительная вентиляция тр. отсека</t>
  </si>
  <si>
    <t>принудительная вентиляция ТО</t>
  </si>
  <si>
    <t>ПКТ 101-6-5-20 У3</t>
  </si>
  <si>
    <t>ПКТ 101-6-8-20 У3</t>
  </si>
  <si>
    <t>ПКТ 101-6-10-20 У3</t>
  </si>
  <si>
    <t>ПКТ 101-6-16-20 У3</t>
  </si>
  <si>
    <t>ПКТ 101-6-31,5-20 У3</t>
  </si>
  <si>
    <t>ПКТ 103-6-80-31,5 У3</t>
  </si>
  <si>
    <t>ПКТ 103-6-100-31,5 У3</t>
  </si>
  <si>
    <t>ПКТ 104-6-160-31,5 У3</t>
  </si>
  <si>
    <t>ПКТ 101-10-8-12,5 У3</t>
  </si>
  <si>
    <t>ПКТ 101-10-10-12,5 У3</t>
  </si>
  <si>
    <t>ПКТ 101-10-16-12,5 У3</t>
  </si>
  <si>
    <t>ПКТ 102-10-40-31,5 У3</t>
  </si>
  <si>
    <t>ПКТ 103-10-80-20 У3</t>
  </si>
  <si>
    <t>ПКТ 103-10-100-12,5 У3</t>
  </si>
  <si>
    <t>Коммуникатор ЭНКМ-3-220-А2Т-401</t>
  </si>
  <si>
    <t>Коммуникатор GSM С-1.02</t>
  </si>
  <si>
    <t>Коммуникатор GSM RTR8A.LG1-1</t>
  </si>
  <si>
    <t>Блок питания TELEOFIS DPS 12-12</t>
  </si>
  <si>
    <t>Антенна    Triada BA-996 SOTA 1,5m SMA 3G</t>
  </si>
  <si>
    <t>Коммуникатор Меркурий 250 12GRL</t>
  </si>
  <si>
    <t>Антена GSM</t>
  </si>
  <si>
    <t>Коммуникационный модуль ЭНКМ-3-220-АТ</t>
  </si>
  <si>
    <t>Модуль ввода/вывода ЭНМВ-1-4/3R-220-А1</t>
  </si>
  <si>
    <t>Блок питания Mean Well DR-30-12</t>
  </si>
  <si>
    <t>ВА 47-29 3Р,  10 А</t>
  </si>
  <si>
    <t>ВА 47-29 3Р,  25 А</t>
  </si>
  <si>
    <t xml:space="preserve"> </t>
  </si>
  <si>
    <t>РЕ 19-43</t>
  </si>
  <si>
    <t>ВА 55-43</t>
  </si>
  <si>
    <t>ВА 57-35</t>
  </si>
  <si>
    <t>GSM-модем TELEOFIS RX108-R4 (RS485)</t>
  </si>
  <si>
    <t>Малогабаритная КТП (без УВН)</t>
  </si>
  <si>
    <t>Макс количество выключателей ол</t>
  </si>
  <si>
    <t xml:space="preserve">Малогабаритная КТП до 250кВА (без УВН) </t>
  </si>
  <si>
    <t>ПКТ 101-10-4-12,5 У3</t>
  </si>
  <si>
    <t>ПКТ 101-10-5-12,5 У3</t>
  </si>
  <si>
    <t>40/5</t>
  </si>
  <si>
    <t>RBK-I</t>
  </si>
  <si>
    <t>RBK-II</t>
  </si>
  <si>
    <t>ВА 88-32</t>
  </si>
  <si>
    <t>ВА 88-35</t>
  </si>
  <si>
    <t>ВА 88-32 3Р,  16 А</t>
  </si>
  <si>
    <t>ВА 47-29 3Р,  40 А</t>
  </si>
  <si>
    <t>Встроен в счетчик</t>
  </si>
  <si>
    <t>рекомендуемое</t>
  </si>
  <si>
    <t>GSM C-1.02</t>
  </si>
  <si>
    <t>ВА 88-43</t>
  </si>
  <si>
    <t>ВА 88-37</t>
  </si>
  <si>
    <t>КТПК-П-ВВ-630/10/0,4 УХЛ1</t>
  </si>
  <si>
    <t>ВА 88-40</t>
  </si>
  <si>
    <t>токи</t>
  </si>
  <si>
    <t>ВА0436</t>
  </si>
  <si>
    <t>ВА4729</t>
  </si>
  <si>
    <t>ВА5135</t>
  </si>
  <si>
    <t>ВА5139</t>
  </si>
  <si>
    <t>ВА5341</t>
  </si>
  <si>
    <t>ВА5541</t>
  </si>
  <si>
    <t>ВА5343</t>
  </si>
  <si>
    <t>ВА5543</t>
  </si>
  <si>
    <t>ВА5731</t>
  </si>
  <si>
    <t>ВА57Ф31</t>
  </si>
  <si>
    <t>ВА5735</t>
  </si>
  <si>
    <t>ВА57Ф35</t>
  </si>
  <si>
    <t>ВА5739</t>
  </si>
  <si>
    <t>ВА8832</t>
  </si>
  <si>
    <t>ВА8833</t>
  </si>
  <si>
    <t>ВА8835</t>
  </si>
  <si>
    <t>ВА8837</t>
  </si>
  <si>
    <t>ВА8840</t>
  </si>
  <si>
    <t>РБК0</t>
  </si>
  <si>
    <t>РБК1</t>
  </si>
  <si>
    <t>РБК2</t>
  </si>
  <si>
    <t>РБК3</t>
  </si>
  <si>
    <t xml:space="preserve">  </t>
  </si>
  <si>
    <t>ОПНп-10/12,7/680 УХЛ1</t>
  </si>
  <si>
    <t>ОПНп-0,22/300/0,3 УХЛ1</t>
  </si>
  <si>
    <t>ОПНп-0,22/450/0,3 УХЛ1</t>
  </si>
  <si>
    <t>ОПНп-6/6,6/550 УХЛ1</t>
  </si>
  <si>
    <t>ОПНп-6/6,9/550 УХЛ1</t>
  </si>
  <si>
    <t>ОПНп-6/7,2/550 УХЛ1</t>
  </si>
  <si>
    <t>ОПНп-6/7,6/550 УХЛ1</t>
  </si>
  <si>
    <t>ОПНп-6/6,6/680 УХЛ1</t>
  </si>
  <si>
    <t>ОПНп-6/6,9/680 УХЛ1</t>
  </si>
  <si>
    <t>ОПНп-6/7,2/680 УХЛ1</t>
  </si>
  <si>
    <t>ОПНп-6/7,6/680 УХЛ1</t>
  </si>
  <si>
    <t>ОПНп-10/11/550 УХЛ1</t>
  </si>
  <si>
    <t>ОПНп-10/11,5/550 УХЛ1</t>
  </si>
  <si>
    <t>ОПНп-10/12/550 УХЛ1</t>
  </si>
  <si>
    <t>ОПНп-10/12,7/550 УХЛ1</t>
  </si>
  <si>
    <t>ОПНп-10/11/680 УХЛ1</t>
  </si>
  <si>
    <t>ОПНп-10/11,5/680 УХЛ1</t>
  </si>
  <si>
    <t>ОПНп-10/12/680 УХЛ1</t>
  </si>
  <si>
    <t>Счетчик на отходящей линии</t>
  </si>
  <si>
    <t>СЭТ-4ТМ.03М</t>
  </si>
  <si>
    <t>ОПНп-10/12/400 УХЛ1</t>
  </si>
  <si>
    <t>Класс точности ТТ  на отходящих линиях - 1</t>
  </si>
  <si>
    <t>ЭНКМ-3-А2В1Е1GT-430</t>
  </si>
  <si>
    <t>ЭНКМ-3-А2В1Е1GT-422</t>
  </si>
  <si>
    <t>ВА8843</t>
  </si>
  <si>
    <t>http://www.cztt.ru/userFiles/Raspred_ustroystva/KTPK/Rukovodstvo_KTPK_web.pdf</t>
  </si>
  <si>
    <t>Техническая конфигурация опросного листа - в соответствии с "Руководством по проектированию"</t>
  </si>
  <si>
    <t>Мал&gt;100</t>
  </si>
  <si>
    <t>Мал&lt;=100</t>
  </si>
  <si>
    <t>Прох</t>
  </si>
  <si>
    <t>Тупик</t>
  </si>
  <si>
    <t>Мал</t>
  </si>
  <si>
    <t>1Тр,Туп,Каб</t>
  </si>
  <si>
    <t>1Тр,Туп,Возд</t>
  </si>
  <si>
    <t>1Тр,Прох,Возд</t>
  </si>
  <si>
    <t>1Тр,Прох,Каб</t>
  </si>
  <si>
    <t>2Тр,Каб</t>
  </si>
  <si>
    <t>2Тр,Возд</t>
  </si>
  <si>
    <t>Мал, Каб</t>
  </si>
  <si>
    <t>Мал, Возд</t>
  </si>
  <si>
    <t>Основание</t>
  </si>
  <si>
    <t>ОПНп-0,38/300/0,4 УХЛ1</t>
  </si>
  <si>
    <t>ОПНп-0,38/450/0,4 УХЛ1</t>
  </si>
  <si>
    <t>OptiMatD</t>
  </si>
  <si>
    <t>РЛНД</t>
  </si>
  <si>
    <r>
      <t>ТЛС(</t>
    </r>
    <r>
      <rPr>
        <b/>
        <sz val="8"/>
        <rFont val="Arial"/>
        <family val="2"/>
        <charset val="204"/>
      </rPr>
      <t>медь</t>
    </r>
    <r>
      <rPr>
        <b/>
        <sz val="11"/>
        <rFont val="Arial"/>
        <family val="2"/>
        <charset val="204"/>
      </rPr>
      <t>)</t>
    </r>
  </si>
  <si>
    <r>
      <t>ТЛС(</t>
    </r>
    <r>
      <rPr>
        <b/>
        <sz val="8"/>
        <color theme="1"/>
        <rFont val="Arial"/>
        <family val="2"/>
        <charset val="204"/>
      </rPr>
      <t>алюм</t>
    </r>
    <r>
      <rPr>
        <b/>
        <sz val="11"/>
        <color theme="1"/>
        <rFont val="Arial"/>
        <family val="2"/>
        <charset val="204"/>
      </rPr>
      <t>)</t>
    </r>
  </si>
  <si>
    <r>
      <t>ТМГ(</t>
    </r>
    <r>
      <rPr>
        <b/>
        <sz val="8"/>
        <color theme="1"/>
        <rFont val="Arial"/>
        <family val="2"/>
        <charset val="204"/>
      </rPr>
      <t>пониж</t>
    </r>
    <r>
      <rPr>
        <b/>
        <sz val="11"/>
        <color theme="1"/>
        <rFont val="Arial"/>
        <family val="2"/>
        <charset val="204"/>
      </rPr>
      <t>)</t>
    </r>
  </si>
  <si>
    <t>ОАО "Свердловский завод трансформаторов тока", 620043, Г.Екатеринбург ул. Черкасская,25 тел./343/ 234-31-04                                             факс /343/212-52-55                     e-mail:marketing@cztt.ru   cztt@cztt.ru   сайт: www.cztt.ru</t>
  </si>
  <si>
    <t>тип</t>
  </si>
  <si>
    <t>цена без НДС</t>
  </si>
  <si>
    <t>Исполнения счетчика</t>
  </si>
  <si>
    <t>счетчик</t>
  </si>
  <si>
    <t xml:space="preserve">СЭТ-4ТМ.03М.01 </t>
  </si>
  <si>
    <t>СЭТ-4ТМ.02М.03</t>
  </si>
  <si>
    <t>СЭТ-4ТМ.03М.05</t>
  </si>
  <si>
    <t>СЭТ-4ТМ.02М.07</t>
  </si>
  <si>
    <t>ПСЧ-4ТМ.05МК.00</t>
  </si>
  <si>
    <t>ПСЧ-4ТМ.05МК.00.01*</t>
  </si>
  <si>
    <t>ПСЧ-4ТМ.05МК.01</t>
  </si>
  <si>
    <t>ПСЧ-4ТМ.05МК.12</t>
  </si>
  <si>
    <t>ПСЧ-4ТМ.05МК.12.01*</t>
  </si>
  <si>
    <t>ПСЧ-4ТМ.05МК.13</t>
  </si>
  <si>
    <t>СE 303 S31 503 JAVZ</t>
  </si>
  <si>
    <t>СE 303 S31 503 JGVZ(12)</t>
  </si>
  <si>
    <t>Освещение отсеков подстанции</t>
  </si>
  <si>
    <t>Наличие освещения (напряжение)</t>
  </si>
  <si>
    <t>2Тр&gt;630</t>
  </si>
  <si>
    <t>2Тр&lt;=630</t>
  </si>
  <si>
    <t>Туп &lt;=630</t>
  </si>
  <si>
    <t>Туп &gt;630</t>
  </si>
  <si>
    <t>OptiMatE</t>
  </si>
  <si>
    <t>OptidinBM63</t>
  </si>
  <si>
    <t>OptidinBM125</t>
  </si>
  <si>
    <t>М 234 ARTM2-02 (D)POBR.R</t>
  </si>
  <si>
    <t>М 234 ARTM2-03 (D)PBR.R 0,2/0,5s</t>
  </si>
  <si>
    <t>М 234 ARTM2-03 (D)PBR.G 0.2S/0.5</t>
  </si>
  <si>
    <t>Меркурий 228</t>
  </si>
  <si>
    <t>ВНА</t>
  </si>
  <si>
    <t xml:space="preserve">РИМ 489.24ВК.O </t>
  </si>
  <si>
    <t xml:space="preserve">РИМ 489.24ВК.2G </t>
  </si>
  <si>
    <t xml:space="preserve">РИМ 489.30ВК.4G </t>
  </si>
  <si>
    <t xml:space="preserve">РИМ 489.30ВК.2G </t>
  </si>
  <si>
    <t xml:space="preserve">РИМ 489.30ВК. 4G </t>
  </si>
  <si>
    <t xml:space="preserve">РИМ 489.32ВК.O </t>
  </si>
  <si>
    <t xml:space="preserve">РИМ 489.32ВК.2G </t>
  </si>
  <si>
    <t xml:space="preserve">коммуникатор РиМ 099.03 </t>
  </si>
  <si>
    <t xml:space="preserve">коммуникатор РИМ 071.21 </t>
  </si>
  <si>
    <t xml:space="preserve">конвертор РиМ 019.01 </t>
  </si>
  <si>
    <t xml:space="preserve">монтажное устройство РиМ 000.22 </t>
  </si>
  <si>
    <t>РИМ 489.30ВК.О</t>
  </si>
  <si>
    <t>Модуль МИР МВ-01-R-8(16)ТС230-ИП230</t>
  </si>
  <si>
    <t>Счетчик МИР С-07.05S-230-5(10)-PZ-Q-D</t>
  </si>
  <si>
    <t>Коммуникатор МИР МК‐01.А‐2E/G1/2R/P/Z‐ИП230/ИП24‐3ТС24/SD</t>
  </si>
  <si>
    <t>ПКТ 102-10-31,5-31,5 У3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</si>
</sst>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3" tint="0.39997558519241921"/>
      <name val="Arial"/>
      <family val="2"/>
      <charset val="204"/>
    </font>
    <font>
      <b/>
      <sz val="12"/>
      <color rgb="FFC00000"/>
      <name val="Arial"/>
      <family val="2"/>
      <charset val="204"/>
    </font>
    <font>
      <b/>
      <sz val="11"/>
      <color rgb="FFC00000"/>
      <name val="Arial"/>
      <family val="2"/>
      <charset val="204"/>
    </font>
    <font>
      <b/>
      <sz val="10"/>
      <color rgb="FFC00000"/>
      <name val="Arial Cyr"/>
      <charset val="204"/>
    </font>
    <font>
      <b/>
      <sz val="8"/>
      <color rgb="FFC00000"/>
      <name val="Arial Cyr"/>
      <charset val="204"/>
    </font>
    <font>
      <b/>
      <sz val="16"/>
      <color rgb="FFC00000"/>
      <name val="Arial Cyr"/>
      <charset val="204"/>
    </font>
    <font>
      <b/>
      <sz val="16"/>
      <color theme="1"/>
      <name val="Arial"/>
      <family val="2"/>
      <charset val="204"/>
    </font>
    <font>
      <b/>
      <sz val="10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10"/>
      <name val="Arial Cyr"/>
      <charset val="204"/>
    </font>
    <font>
      <b/>
      <sz val="10.5"/>
      <color theme="1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rgb="FFC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C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20"/>
      <color theme="1"/>
      <name val="Arial"/>
      <family val="2"/>
      <charset val="204"/>
    </font>
    <font>
      <i/>
      <sz val="2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17" fillId="0" borderId="0"/>
    <xf numFmtId="0" fontId="29" fillId="0" borderId="0" applyNumberFormat="0" applyFill="0" applyBorder="0" applyAlignment="0" applyProtection="0"/>
    <xf numFmtId="0" fontId="17" fillId="0" borderId="0"/>
    <xf numFmtId="0" fontId="36" fillId="0" borderId="0"/>
    <xf numFmtId="0" fontId="1" fillId="0" borderId="0"/>
  </cellStyleXfs>
  <cellXfs count="180">
    <xf numFmtId="0" fontId="0" fillId="0" borderId="0" xfId="0"/>
    <xf numFmtId="0" fontId="3" fillId="0" borderId="0" xfId="0" applyFont="1"/>
    <xf numFmtId="0" fontId="5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14" fillId="0" borderId="5" xfId="0" applyFont="1" applyBorder="1"/>
    <xf numFmtId="0" fontId="5" fillId="0" borderId="3" xfId="0" applyFont="1" applyBorder="1"/>
    <xf numFmtId="0" fontId="5" fillId="0" borderId="12" xfId="0" applyFont="1" applyBorder="1"/>
    <xf numFmtId="0" fontId="5" fillId="0" borderId="13" xfId="0" applyFont="1" applyBorder="1"/>
    <xf numFmtId="0" fontId="16" fillId="6" borderId="0" xfId="0" applyFont="1" applyFill="1" applyBorder="1" applyAlignment="1"/>
    <xf numFmtId="0" fontId="3" fillId="0" borderId="0" xfId="0" applyFont="1" applyBorder="1"/>
    <xf numFmtId="0" fontId="5" fillId="6" borderId="0" xfId="0" applyFont="1" applyFill="1" applyBorder="1" applyAlignment="1"/>
    <xf numFmtId="0" fontId="5" fillId="0" borderId="11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0" xfId="0" applyFont="1" applyBorder="1"/>
    <xf numFmtId="0" fontId="5" fillId="0" borderId="17" xfId="0" applyFont="1" applyBorder="1"/>
    <xf numFmtId="0" fontId="5" fillId="0" borderId="16" xfId="0" applyFont="1" applyBorder="1"/>
    <xf numFmtId="0" fontId="22" fillId="0" borderId="2" xfId="0" applyFont="1" applyFill="1" applyBorder="1" applyAlignment="1">
      <alignment horizontal="justify" vertical="center" wrapText="1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Protection="1"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0" fontId="19" fillId="5" borderId="2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5" fillId="0" borderId="21" xfId="0" applyFont="1" applyBorder="1"/>
    <xf numFmtId="0" fontId="5" fillId="0" borderId="0" xfId="0" applyFont="1" applyBorder="1" applyAlignment="1">
      <alignment horizontal="center"/>
    </xf>
    <xf numFmtId="0" fontId="8" fillId="0" borderId="20" xfId="0" applyFont="1" applyBorder="1"/>
    <xf numFmtId="0" fontId="6" fillId="0" borderId="22" xfId="0" applyFont="1" applyBorder="1"/>
    <xf numFmtId="0" fontId="20" fillId="0" borderId="0" xfId="0" applyFont="1" applyBorder="1" applyAlignment="1">
      <alignment horizontal="left"/>
    </xf>
    <xf numFmtId="0" fontId="6" fillId="0" borderId="23" xfId="0" applyFont="1" applyBorder="1" applyAlignment="1">
      <alignment vertical="center"/>
    </xf>
    <xf numFmtId="0" fontId="5" fillId="0" borderId="0" xfId="0" applyFont="1" applyBorder="1" applyProtection="1">
      <protection locked="0"/>
    </xf>
    <xf numFmtId="0" fontId="21" fillId="0" borderId="20" xfId="0" applyFont="1" applyBorder="1"/>
    <xf numFmtId="0" fontId="6" fillId="0" borderId="24" xfId="0" applyFont="1" applyBorder="1" applyAlignment="1">
      <alignment vertical="center"/>
    </xf>
    <xf numFmtId="0" fontId="6" fillId="0" borderId="24" xfId="0" applyFont="1" applyBorder="1"/>
    <xf numFmtId="0" fontId="6" fillId="0" borderId="25" xfId="0" applyFont="1" applyBorder="1"/>
    <xf numFmtId="0" fontId="5" fillId="0" borderId="22" xfId="0" applyFont="1" applyBorder="1"/>
    <xf numFmtId="0" fontId="6" fillId="0" borderId="20" xfId="0" applyFont="1" applyBorder="1"/>
    <xf numFmtId="0" fontId="6" fillId="0" borderId="23" xfId="0" applyFont="1" applyBorder="1"/>
    <xf numFmtId="0" fontId="5" fillId="0" borderId="0" xfId="0" applyFont="1" applyBorder="1" applyAlignment="1" applyProtection="1">
      <alignment horizontal="left"/>
      <protection locked="0"/>
    </xf>
    <xf numFmtId="0" fontId="5" fillId="0" borderId="20" xfId="0" applyFont="1" applyBorder="1"/>
    <xf numFmtId="0" fontId="5" fillId="0" borderId="23" xfId="0" applyFont="1" applyBorder="1" applyAlignment="1">
      <alignment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18" fillId="0" borderId="27" xfId="0" applyFont="1" applyBorder="1"/>
    <xf numFmtId="0" fontId="5" fillId="6" borderId="31" xfId="0" applyFont="1" applyFill="1" applyBorder="1" applyAlignment="1"/>
    <xf numFmtId="0" fontId="16" fillId="6" borderId="21" xfId="0" applyFont="1" applyFill="1" applyBorder="1" applyAlignment="1"/>
    <xf numFmtId="0" fontId="4" fillId="0" borderId="25" xfId="0" applyFont="1" applyBorder="1" applyAlignment="1">
      <alignment horizontal="left"/>
    </xf>
    <xf numFmtId="0" fontId="4" fillId="0" borderId="33" xfId="0" applyFont="1" applyBorder="1" applyAlignment="1"/>
    <xf numFmtId="0" fontId="5" fillId="3" borderId="0" xfId="0" applyFont="1" applyFill="1" applyBorder="1"/>
    <xf numFmtId="0" fontId="21" fillId="0" borderId="0" xfId="0" applyFont="1"/>
    <xf numFmtId="0" fontId="22" fillId="0" borderId="0" xfId="0" applyFont="1" applyFill="1" applyBorder="1" applyAlignment="1">
      <alignment horizontal="justify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23" fillId="0" borderId="0" xfId="0" applyFont="1" applyBorder="1" applyAlignment="1">
      <alignment horizontal="center" vertical="top"/>
    </xf>
    <xf numFmtId="0" fontId="5" fillId="3" borderId="0" xfId="0" applyFont="1" applyFill="1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3" borderId="2" xfId="0" applyFont="1" applyFill="1" applyBorder="1" applyAlignment="1">
      <alignment horizontal="center"/>
    </xf>
    <xf numFmtId="0" fontId="24" fillId="3" borderId="2" xfId="0" applyFont="1" applyFill="1" applyBorder="1"/>
    <xf numFmtId="0" fontId="0" fillId="0" borderId="2" xfId="0" applyBorder="1"/>
    <xf numFmtId="0" fontId="0" fillId="8" borderId="2" xfId="0" applyFill="1" applyBorder="1"/>
    <xf numFmtId="0" fontId="0" fillId="0" borderId="0" xfId="0" applyAlignment="1">
      <alignment horizontal="center"/>
    </xf>
    <xf numFmtId="0" fontId="12" fillId="5" borderId="34" xfId="0" applyFont="1" applyFill="1" applyBorder="1" applyAlignment="1" applyProtection="1">
      <alignment horizontal="center" vertical="center" textRotation="90"/>
      <protection locked="0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vertical="center"/>
    </xf>
    <xf numFmtId="0" fontId="19" fillId="5" borderId="2" xfId="0" applyFont="1" applyFill="1" applyBorder="1" applyAlignment="1" applyProtection="1">
      <alignment horizontal="center" textRotation="90"/>
      <protection locked="0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9" fillId="0" borderId="0" xfId="3" applyBorder="1" applyAlignment="1">
      <alignment horizontal="left"/>
    </xf>
    <xf numFmtId="0" fontId="23" fillId="0" borderId="9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23" fillId="0" borderId="4" xfId="0" applyFont="1" applyBorder="1" applyAlignment="1">
      <alignment horizontal="right" vertical="top"/>
    </xf>
    <xf numFmtId="0" fontId="23" fillId="0" borderId="4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30" fillId="0" borderId="0" xfId="0" applyFont="1"/>
    <xf numFmtId="0" fontId="5" fillId="0" borderId="0" xfId="0" applyFont="1" applyBorder="1" applyAlignment="1">
      <alignment horizontal="right"/>
    </xf>
    <xf numFmtId="0" fontId="30" fillId="0" borderId="0" xfId="0" applyFont="1" applyBorder="1"/>
    <xf numFmtId="0" fontId="27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3" fillId="0" borderId="2" xfId="0" applyFont="1" applyBorder="1"/>
    <xf numFmtId="0" fontId="32" fillId="3" borderId="2" xfId="0" applyFont="1" applyFill="1" applyBorder="1" applyAlignment="1">
      <alignment horizontal="center"/>
    </xf>
    <xf numFmtId="0" fontId="33" fillId="0" borderId="0" xfId="0" applyFont="1"/>
    <xf numFmtId="0" fontId="3" fillId="3" borderId="2" xfId="0" applyFont="1" applyFill="1" applyBorder="1"/>
    <xf numFmtId="0" fontId="0" fillId="3" borderId="2" xfId="0" applyFill="1" applyBorder="1"/>
    <xf numFmtId="3" fontId="5" fillId="0" borderId="0" xfId="0" applyNumberFormat="1" applyFont="1"/>
    <xf numFmtId="0" fontId="5" fillId="6" borderId="0" xfId="0" applyFont="1" applyFill="1" applyAlignment="1">
      <alignment vertical="top" wrapText="1"/>
    </xf>
    <xf numFmtId="0" fontId="3" fillId="6" borderId="2" xfId="0" applyFont="1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0" fillId="9" borderId="2" xfId="0" applyFill="1" applyBorder="1"/>
    <xf numFmtId="0" fontId="3" fillId="0" borderId="2" xfId="0" applyFont="1" applyFill="1" applyBorder="1" applyAlignment="1">
      <alignment horizontal="center"/>
    </xf>
    <xf numFmtId="0" fontId="0" fillId="10" borderId="2" xfId="0" applyFill="1" applyBorder="1"/>
    <xf numFmtId="0" fontId="24" fillId="3" borderId="10" xfId="0" applyFont="1" applyFill="1" applyBorder="1"/>
    <xf numFmtId="0" fontId="0" fillId="9" borderId="2" xfId="0" applyFill="1" applyBorder="1" applyAlignment="1">
      <alignment wrapText="1"/>
    </xf>
    <xf numFmtId="0" fontId="0" fillId="9" borderId="2" xfId="0" applyFill="1" applyBorder="1" applyAlignment="1">
      <alignment horizontal="left"/>
    </xf>
    <xf numFmtId="0" fontId="0" fillId="0" borderId="0" xfId="0" applyAlignment="1">
      <alignment horizontal="left"/>
    </xf>
    <xf numFmtId="2" fontId="1" fillId="6" borderId="0" xfId="6" applyNumberFormat="1" applyFill="1"/>
    <xf numFmtId="0" fontId="1" fillId="6" borderId="0" xfId="6" applyFill="1"/>
    <xf numFmtId="0" fontId="1" fillId="3" borderId="2" xfId="6" applyFill="1" applyBorder="1"/>
    <xf numFmtId="1" fontId="0" fillId="9" borderId="2" xfId="0" applyNumberFormat="1" applyFill="1" applyBorder="1"/>
    <xf numFmtId="3" fontId="34" fillId="0" borderId="0" xfId="0" applyNumberFormat="1" applyFont="1" applyBorder="1" applyAlignment="1"/>
    <xf numFmtId="0" fontId="35" fillId="0" borderId="0" xfId="0" applyFont="1" applyAlignment="1"/>
    <xf numFmtId="0" fontId="9" fillId="4" borderId="19" xfId="0" applyFont="1" applyFill="1" applyBorder="1" applyAlignment="1" applyProtection="1">
      <alignment horizontal="left"/>
      <protection locked="0"/>
    </xf>
    <xf numFmtId="0" fontId="9" fillId="4" borderId="18" xfId="0" applyFont="1" applyFill="1" applyBorder="1" applyAlignment="1" applyProtection="1">
      <alignment horizontal="left"/>
      <protection locked="0"/>
    </xf>
    <xf numFmtId="0" fontId="9" fillId="4" borderId="32" xfId="0" applyFont="1" applyFill="1" applyBorder="1" applyAlignment="1" applyProtection="1">
      <alignment horizontal="left"/>
      <protection locked="0"/>
    </xf>
    <xf numFmtId="0" fontId="9" fillId="4" borderId="9" xfId="0" applyFont="1" applyFill="1" applyBorder="1" applyAlignment="1" applyProtection="1">
      <alignment horizontal="left"/>
      <protection locked="0"/>
    </xf>
    <xf numFmtId="0" fontId="9" fillId="4" borderId="4" xfId="0" applyFont="1" applyFill="1" applyBorder="1" applyAlignment="1" applyProtection="1">
      <alignment horizontal="left"/>
      <protection locked="0"/>
    </xf>
    <xf numFmtId="0" fontId="9" fillId="4" borderId="30" xfId="0" applyFont="1" applyFill="1" applyBorder="1" applyAlignment="1" applyProtection="1">
      <alignment horizontal="left"/>
      <protection locked="0"/>
    </xf>
    <xf numFmtId="0" fontId="14" fillId="3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0" fillId="5" borderId="9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10" xfId="0" applyBorder="1" applyProtection="1">
      <protection locked="0"/>
    </xf>
    <xf numFmtId="0" fontId="10" fillId="11" borderId="12" xfId="0" applyFont="1" applyFill="1" applyBorder="1" applyAlignment="1" applyProtection="1">
      <alignment horizontal="center"/>
      <protection locked="0"/>
    </xf>
    <xf numFmtId="0" fontId="0" fillId="11" borderId="11" xfId="0" applyFill="1" applyBorder="1" applyProtection="1">
      <protection locked="0"/>
    </xf>
    <xf numFmtId="0" fontId="0" fillId="11" borderId="14" xfId="0" applyFill="1" applyBorder="1" applyProtection="1">
      <protection locked="0"/>
    </xf>
    <xf numFmtId="0" fontId="9" fillId="11" borderId="15" xfId="0" applyFont="1" applyFill="1" applyBorder="1" applyAlignment="1" applyProtection="1">
      <alignment horizontal="center"/>
      <protection locked="0"/>
    </xf>
    <xf numFmtId="0" fontId="0" fillId="11" borderId="0" xfId="0" applyFill="1" applyBorder="1" applyProtection="1">
      <protection locked="0"/>
    </xf>
    <xf numFmtId="0" fontId="0" fillId="11" borderId="17" xfId="0" applyFill="1" applyBorder="1" applyProtection="1">
      <protection locked="0"/>
    </xf>
    <xf numFmtId="0" fontId="9" fillId="11" borderId="15" xfId="0" applyFont="1" applyFill="1" applyBorder="1" applyAlignment="1" applyProtection="1">
      <alignment horizontal="center" vertical="center"/>
      <protection locked="0"/>
    </xf>
    <xf numFmtId="0" fontId="9" fillId="11" borderId="9" xfId="0" applyFont="1" applyFill="1" applyBorder="1" applyAlignment="1" applyProtection="1">
      <alignment horizontal="center"/>
      <protection locked="0"/>
    </xf>
    <xf numFmtId="0" fontId="0" fillId="11" borderId="4" xfId="0" applyFill="1" applyBorder="1" applyProtection="1">
      <protection locked="0"/>
    </xf>
    <xf numFmtId="0" fontId="0" fillId="11" borderId="10" xfId="0" applyFill="1" applyBorder="1" applyProtection="1">
      <protection locked="0"/>
    </xf>
    <xf numFmtId="0" fontId="10" fillId="11" borderId="9" xfId="0" applyFont="1" applyFill="1" applyBorder="1" applyAlignment="1" applyProtection="1">
      <alignment horizontal="center"/>
      <protection locked="0"/>
    </xf>
    <xf numFmtId="0" fontId="10" fillId="11" borderId="4" xfId="0" applyFont="1" applyFill="1" applyBorder="1" applyAlignment="1" applyProtection="1">
      <alignment horizontal="center"/>
      <protection locked="0"/>
    </xf>
    <xf numFmtId="0" fontId="10" fillId="11" borderId="10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5" fillId="6" borderId="29" xfId="0" applyFont="1" applyFill="1" applyBorder="1" applyAlignment="1" applyProtection="1">
      <protection hidden="1"/>
    </xf>
    <xf numFmtId="0" fontId="0" fillId="0" borderId="4" xfId="0" applyBorder="1" applyProtection="1">
      <protection hidden="1"/>
    </xf>
    <xf numFmtId="0" fontId="0" fillId="0" borderId="30" xfId="0" applyBorder="1" applyProtection="1">
      <protection hidden="1"/>
    </xf>
    <xf numFmtId="0" fontId="15" fillId="6" borderId="29" xfId="0" applyFont="1" applyFill="1" applyBorder="1" applyAlignment="1">
      <alignment horizontal="left"/>
    </xf>
    <xf numFmtId="0" fontId="0" fillId="0" borderId="4" xfId="0" applyBorder="1"/>
    <xf numFmtId="0" fontId="0" fillId="0" borderId="30" xfId="0" applyBorder="1"/>
    <xf numFmtId="0" fontId="15" fillId="6" borderId="29" xfId="0" applyFont="1" applyFill="1" applyBorder="1" applyAlignment="1" applyProtection="1">
      <alignment horizontal="left"/>
      <protection locked="0"/>
    </xf>
    <xf numFmtId="0" fontId="0" fillId="0" borderId="30" xfId="0" applyBorder="1" applyProtection="1">
      <protection locked="0"/>
    </xf>
    <xf numFmtId="0" fontId="13" fillId="5" borderId="6" xfId="0" applyFont="1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0" fillId="11" borderId="13" xfId="0" applyFont="1" applyFill="1" applyBorder="1" applyAlignment="1" applyProtection="1">
      <alignment horizontal="center"/>
      <protection locked="0"/>
    </xf>
    <xf numFmtId="0" fontId="0" fillId="11" borderId="3" xfId="0" applyFill="1" applyBorder="1" applyProtection="1">
      <protection locked="0"/>
    </xf>
    <xf numFmtId="0" fontId="0" fillId="11" borderId="16" xfId="0" applyFill="1" applyBorder="1" applyProtection="1">
      <protection locked="0"/>
    </xf>
    <xf numFmtId="0" fontId="25" fillId="11" borderId="9" xfId="0" applyFont="1" applyFill="1" applyBorder="1" applyAlignment="1" applyProtection="1">
      <alignment horizontal="center"/>
      <protection locked="0"/>
    </xf>
    <xf numFmtId="0" fontId="26" fillId="11" borderId="4" xfId="0" applyFont="1" applyFill="1" applyBorder="1" applyProtection="1">
      <protection locked="0"/>
    </xf>
    <xf numFmtId="0" fontId="26" fillId="11" borderId="10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0" fillId="11" borderId="13" xfId="0" applyFont="1" applyFill="1" applyBorder="1" applyAlignment="1" applyProtection="1">
      <alignment horizontal="center"/>
    </xf>
    <xf numFmtId="0" fontId="0" fillId="11" borderId="3" xfId="0" applyFill="1" applyBorder="1" applyProtection="1"/>
    <xf numFmtId="0" fontId="0" fillId="11" borderId="16" xfId="0" applyFill="1" applyBorder="1" applyProtection="1"/>
    <xf numFmtId="3" fontId="5" fillId="0" borderId="11" xfId="0" applyNumberFormat="1" applyFont="1" applyBorder="1" applyAlignment="1"/>
    <xf numFmtId="3" fontId="0" fillId="0" borderId="11" xfId="0" applyNumberFormat="1" applyBorder="1" applyAlignment="1"/>
    <xf numFmtId="0" fontId="9" fillId="11" borderId="13" xfId="0" applyFont="1" applyFill="1" applyBorder="1" applyAlignment="1" applyProtection="1">
      <alignment horizontal="center" vertical="center"/>
      <protection locked="0"/>
    </xf>
    <xf numFmtId="0" fontId="6" fillId="11" borderId="18" xfId="0" applyFont="1" applyFill="1" applyBorder="1" applyAlignment="1">
      <alignment horizontal="center"/>
    </xf>
    <xf numFmtId="0" fontId="9" fillId="11" borderId="12" xfId="0" applyFont="1" applyFill="1" applyBorder="1" applyAlignment="1" applyProtection="1">
      <alignment horizontal="center"/>
      <protection locked="0"/>
    </xf>
    <xf numFmtId="0" fontId="9" fillId="11" borderId="0" xfId="0" applyFont="1" applyFill="1" applyBorder="1" applyAlignment="1" applyProtection="1">
      <alignment horizontal="center"/>
      <protection locked="0"/>
    </xf>
    <xf numFmtId="0" fontId="9" fillId="11" borderId="17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5" fillId="11" borderId="13" xfId="0" applyFont="1" applyFill="1" applyBorder="1" applyAlignment="1" applyProtection="1">
      <alignment horizontal="center"/>
      <protection locked="0"/>
    </xf>
    <xf numFmtId="0" fontId="26" fillId="11" borderId="3" xfId="0" applyFont="1" applyFill="1" applyBorder="1" applyProtection="1">
      <protection locked="0"/>
    </xf>
    <xf numFmtId="0" fontId="26" fillId="11" borderId="16" xfId="0" applyFont="1" applyFill="1" applyBorder="1" applyProtection="1">
      <protection locked="0"/>
    </xf>
    <xf numFmtId="0" fontId="27" fillId="7" borderId="9" xfId="1" applyFont="1" applyFill="1" applyBorder="1" applyAlignment="1">
      <alignment horizontal="center"/>
    </xf>
    <xf numFmtId="0" fontId="27" fillId="7" borderId="4" xfId="1" applyFont="1" applyFill="1" applyBorder="1" applyAlignment="1">
      <alignment horizontal="center"/>
    </xf>
  </cellXfs>
  <cellStyles count="7">
    <cellStyle name="Вывод" xfId="1" builtinId="21"/>
    <cellStyle name="Гиперссылка" xfId="3" builtinId="8"/>
    <cellStyle name="Обычный" xfId="0" builtinId="0"/>
    <cellStyle name="Обычный 2" xfId="2"/>
    <cellStyle name="Обычный 3" xfId="4"/>
    <cellStyle name="Обычный 4" xfId="5"/>
    <cellStyle name="Обычный 5" xfId="6"/>
  </cellStyles>
  <dxfs count="6">
    <dxf>
      <font>
        <color rgb="FFC0000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0000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0000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000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82060</xdr:colOff>
      <xdr:row>0</xdr:row>
      <xdr:rowOff>29308</xdr:rowOff>
    </xdr:from>
    <xdr:to>
      <xdr:col>20</xdr:col>
      <xdr:colOff>184940</xdr:colOff>
      <xdr:row>5</xdr:row>
      <xdr:rowOff>214250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0645" y="29308"/>
          <a:ext cx="1157957" cy="115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ztt.ru/userFiles/Raspred_ustroystva/KTPK/Rukovodstvo_KTPK_web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B050"/>
    <pageSetUpPr fitToPage="1"/>
  </sheetPr>
  <dimension ref="A1:U67"/>
  <sheetViews>
    <sheetView tabSelected="1" showRuler="0" topLeftCell="B1" zoomScale="130" zoomScaleNormal="130" workbookViewId="0">
      <selection activeCell="Q42" sqref="Q42"/>
    </sheetView>
  </sheetViews>
  <sheetFormatPr defaultColWidth="9.109375" defaultRowHeight="14.4" x14ac:dyDescent="0.3"/>
  <cols>
    <col min="1" max="1" width="6.109375" style="1" hidden="1" customWidth="1"/>
    <col min="2" max="2" width="40" style="5" customWidth="1"/>
    <col min="3" max="11" width="5.109375" style="14" customWidth="1"/>
    <col min="12" max="21" width="5.109375" style="5" customWidth="1"/>
    <col min="22" max="16384" width="9.109375" style="1"/>
  </cols>
  <sheetData>
    <row r="1" spans="2:21" ht="15.6" x14ac:dyDescent="0.3">
      <c r="B1" s="59" t="s">
        <v>47</v>
      </c>
      <c r="C1" s="116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8"/>
    </row>
    <row r="2" spans="2:21" ht="15.6" x14ac:dyDescent="0.3">
      <c r="B2" s="58" t="s">
        <v>48</v>
      </c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1"/>
    </row>
    <row r="3" spans="2:21" ht="15.6" x14ac:dyDescent="0.3">
      <c r="B3" s="58" t="s">
        <v>49</v>
      </c>
      <c r="C3" s="119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2:21" x14ac:dyDescent="0.3">
      <c r="B4" s="78" t="s">
        <v>199</v>
      </c>
      <c r="D4" s="9"/>
      <c r="E4" s="9"/>
      <c r="F4" s="9"/>
      <c r="G4" s="9"/>
      <c r="H4" s="9"/>
      <c r="I4" s="9"/>
      <c r="J4" s="9"/>
      <c r="K4" s="9"/>
      <c r="L4" s="10"/>
      <c r="M4" s="25"/>
      <c r="N4" s="25"/>
      <c r="O4" s="166"/>
      <c r="P4" s="167"/>
      <c r="Q4" s="167"/>
      <c r="R4" s="25"/>
      <c r="S4" s="25"/>
      <c r="T4" s="25"/>
      <c r="U4" s="35"/>
    </row>
    <row r="5" spans="2:21" ht="15" thickBot="1" x14ac:dyDescent="0.35">
      <c r="C5" s="79" t="s">
        <v>198</v>
      </c>
      <c r="D5" s="9"/>
      <c r="E5" s="9"/>
      <c r="F5" s="9"/>
      <c r="G5" s="9"/>
      <c r="H5" s="9"/>
      <c r="I5" s="9"/>
      <c r="J5" s="9"/>
      <c r="K5" s="9"/>
      <c r="L5" s="10"/>
      <c r="M5" s="25"/>
      <c r="N5" s="25"/>
      <c r="O5" s="25"/>
      <c r="P5" s="25"/>
      <c r="Q5" s="25"/>
      <c r="R5" s="25"/>
      <c r="S5" s="25"/>
      <c r="T5" s="25"/>
      <c r="U5" s="35"/>
    </row>
    <row r="6" spans="2:21" ht="21.6" thickBot="1" x14ac:dyDescent="0.45">
      <c r="B6" s="122" t="s">
        <v>63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</row>
    <row r="7" spans="2:21" x14ac:dyDescent="0.3">
      <c r="B7" s="37" t="s">
        <v>40</v>
      </c>
      <c r="C7" s="169" t="s">
        <v>0</v>
      </c>
      <c r="D7" s="169"/>
      <c r="E7" s="169"/>
      <c r="F7" s="169"/>
      <c r="G7" s="169"/>
      <c r="H7" s="169"/>
      <c r="I7" s="169"/>
      <c r="J7" s="169"/>
      <c r="K7" s="9"/>
      <c r="L7" s="10"/>
      <c r="M7" s="25"/>
      <c r="N7" s="25"/>
      <c r="O7" s="25"/>
      <c r="P7" s="25"/>
      <c r="Q7" s="25"/>
      <c r="R7" s="25"/>
      <c r="S7" s="25"/>
      <c r="T7" s="25"/>
      <c r="U7" s="35"/>
    </row>
    <row r="8" spans="2:21" ht="15.6" x14ac:dyDescent="0.3">
      <c r="B8" s="38" t="s">
        <v>38</v>
      </c>
      <c r="C8" s="135" t="s">
        <v>1</v>
      </c>
      <c r="D8" s="136"/>
      <c r="E8" s="136"/>
      <c r="F8" s="136"/>
      <c r="G8" s="136"/>
      <c r="H8" s="136"/>
      <c r="I8" s="136"/>
      <c r="J8" s="137"/>
      <c r="K8" s="39" t="str">
        <f>IF((C9=2)*AND(C8="Проходная"), "ОШИБКА", "")</f>
        <v/>
      </c>
      <c r="L8" s="30"/>
      <c r="M8" s="25"/>
      <c r="N8" s="25"/>
      <c r="O8" s="25"/>
      <c r="P8" s="25"/>
      <c r="Q8" s="25"/>
      <c r="R8" s="25"/>
      <c r="S8" s="25"/>
      <c r="T8" s="25"/>
      <c r="U8" s="35"/>
    </row>
    <row r="9" spans="2:21" ht="15.6" x14ac:dyDescent="0.3">
      <c r="B9" s="38" t="s">
        <v>3</v>
      </c>
      <c r="C9" s="135">
        <v>1</v>
      </c>
      <c r="D9" s="136"/>
      <c r="E9" s="136"/>
      <c r="F9" s="136"/>
      <c r="G9" s="136"/>
      <c r="H9" s="136"/>
      <c r="I9" s="136"/>
      <c r="J9" s="137"/>
      <c r="K9" s="39" t="str">
        <f>IF((C9=2)*AND(C8="Проходная"), "ОШИБКА", "")</f>
        <v/>
      </c>
      <c r="L9" s="29"/>
      <c r="M9" s="25"/>
      <c r="N9" s="25"/>
      <c r="O9" s="25"/>
      <c r="P9" s="25"/>
      <c r="Q9" s="25"/>
      <c r="R9" s="25"/>
      <c r="S9" s="25"/>
      <c r="T9" s="25"/>
      <c r="U9" s="35"/>
    </row>
    <row r="10" spans="2:21" ht="15.6" x14ac:dyDescent="0.3">
      <c r="B10" s="40" t="s">
        <v>4</v>
      </c>
      <c r="C10" s="170">
        <v>250</v>
      </c>
      <c r="D10" s="129"/>
      <c r="E10" s="129"/>
      <c r="F10" s="129"/>
      <c r="G10" s="129"/>
      <c r="H10" s="129"/>
      <c r="I10" s="129"/>
      <c r="J10" s="130"/>
      <c r="K10" s="36"/>
      <c r="L10" s="41"/>
      <c r="M10" s="25"/>
      <c r="N10" s="114"/>
      <c r="O10" s="115"/>
      <c r="P10" s="115"/>
      <c r="Q10" s="115"/>
      <c r="R10" s="25"/>
      <c r="S10" s="25"/>
      <c r="T10" s="25"/>
      <c r="U10" s="35"/>
    </row>
    <row r="11" spans="2:21" ht="15.6" x14ac:dyDescent="0.3">
      <c r="B11" s="42" t="s">
        <v>97</v>
      </c>
      <c r="C11" s="131" t="s">
        <v>19</v>
      </c>
      <c r="D11" s="171"/>
      <c r="E11" s="171"/>
      <c r="F11" s="171"/>
      <c r="G11" s="171"/>
      <c r="H11" s="171"/>
      <c r="I11" s="171"/>
      <c r="J11" s="172"/>
      <c r="K11" s="39" t="str">
        <f>IF((C10&gt;400)*AND(C11="НЕТ"), "ОШИБКА", "")</f>
        <v/>
      </c>
      <c r="L11" s="41"/>
      <c r="M11" s="25"/>
      <c r="N11" s="115"/>
      <c r="O11" s="115"/>
      <c r="P11" s="115"/>
      <c r="Q11" s="115"/>
      <c r="R11" s="25"/>
      <c r="S11" s="25"/>
      <c r="T11" s="25"/>
      <c r="U11" s="35"/>
    </row>
    <row r="12" spans="2:21" ht="16.5" customHeight="1" x14ac:dyDescent="0.3">
      <c r="B12" s="43" t="s">
        <v>5</v>
      </c>
      <c r="C12" s="134" t="s">
        <v>6</v>
      </c>
      <c r="D12" s="132"/>
      <c r="E12" s="132"/>
      <c r="F12" s="132"/>
      <c r="G12" s="132"/>
      <c r="H12" s="132"/>
      <c r="I12" s="132"/>
      <c r="J12" s="133"/>
      <c r="K12" s="7"/>
      <c r="L12" s="29"/>
      <c r="M12" s="25"/>
      <c r="N12" s="25"/>
      <c r="O12" s="25"/>
      <c r="P12" s="25"/>
      <c r="Q12" s="25"/>
      <c r="R12" s="25"/>
      <c r="S12" s="25"/>
      <c r="T12" s="25"/>
      <c r="U12" s="35"/>
    </row>
    <row r="13" spans="2:21" ht="15.6" x14ac:dyDescent="0.3">
      <c r="B13" s="44" t="s">
        <v>7</v>
      </c>
      <c r="C13" s="131" t="s">
        <v>8</v>
      </c>
      <c r="D13" s="132"/>
      <c r="E13" s="132"/>
      <c r="F13" s="132"/>
      <c r="G13" s="132"/>
      <c r="H13" s="132"/>
      <c r="I13" s="132"/>
      <c r="J13" s="133"/>
      <c r="K13" s="9"/>
      <c r="L13" s="30"/>
      <c r="M13" s="25"/>
      <c r="N13" s="25"/>
      <c r="O13" s="25"/>
      <c r="P13" s="25"/>
      <c r="Q13" s="25"/>
      <c r="R13" s="25"/>
      <c r="S13" s="25"/>
      <c r="T13" s="25"/>
      <c r="U13" s="35"/>
    </row>
    <row r="14" spans="2:21" ht="15.6" x14ac:dyDescent="0.3">
      <c r="B14" s="45" t="s">
        <v>51</v>
      </c>
      <c r="C14" s="168">
        <v>10</v>
      </c>
      <c r="D14" s="157"/>
      <c r="E14" s="157"/>
      <c r="F14" s="157"/>
      <c r="G14" s="157"/>
      <c r="H14" s="157"/>
      <c r="I14" s="157"/>
      <c r="J14" s="158"/>
      <c r="L14" s="30"/>
      <c r="M14" s="25"/>
      <c r="N14" s="25"/>
      <c r="O14" s="25"/>
      <c r="P14" s="25"/>
      <c r="Q14" s="25"/>
      <c r="R14" s="25"/>
      <c r="S14" s="25"/>
      <c r="T14" s="25"/>
      <c r="U14" s="35"/>
    </row>
    <row r="15" spans="2:21" ht="15.6" x14ac:dyDescent="0.3">
      <c r="B15" s="38" t="s">
        <v>12</v>
      </c>
      <c r="C15" s="135" t="s">
        <v>13</v>
      </c>
      <c r="D15" s="136"/>
      <c r="E15" s="136"/>
      <c r="F15" s="136"/>
      <c r="G15" s="136"/>
      <c r="H15" s="136"/>
      <c r="I15" s="136"/>
      <c r="J15" s="137"/>
      <c r="K15" s="101" t="str">
        <f>IF(C15="Воздух","(крепления для СИП)"," ")</f>
        <v>(крепления для СИП)</v>
      </c>
      <c r="L15" s="30"/>
      <c r="M15" s="25"/>
      <c r="N15" s="25"/>
      <c r="O15" s="25"/>
      <c r="P15" s="25"/>
      <c r="Q15" s="25"/>
      <c r="R15" s="25"/>
      <c r="S15" s="25"/>
      <c r="T15" s="25"/>
      <c r="U15" s="35"/>
    </row>
    <row r="16" spans="2:21" ht="15.6" x14ac:dyDescent="0.3">
      <c r="B16" s="38" t="s">
        <v>15</v>
      </c>
      <c r="C16" s="135" t="s">
        <v>13</v>
      </c>
      <c r="D16" s="136"/>
      <c r="E16" s="136"/>
      <c r="F16" s="136"/>
      <c r="G16" s="136"/>
      <c r="H16" s="136"/>
      <c r="I16" s="136"/>
      <c r="J16" s="137"/>
      <c r="K16" s="101" t="str">
        <f>IF(C16="Воздух","(крепления для СИП)"," ")</f>
        <v>(крепления для СИП)</v>
      </c>
      <c r="L16" s="30"/>
      <c r="M16" s="25"/>
      <c r="N16" s="25"/>
      <c r="O16" s="25"/>
      <c r="P16" s="25"/>
      <c r="Q16" s="25"/>
      <c r="R16" s="25"/>
      <c r="S16" s="25"/>
      <c r="T16" s="25"/>
      <c r="U16" s="35"/>
    </row>
    <row r="17" spans="2:21" ht="15.6" x14ac:dyDescent="0.3">
      <c r="B17" s="46" t="s">
        <v>56</v>
      </c>
      <c r="C17" s="135" t="s">
        <v>58</v>
      </c>
      <c r="D17" s="136"/>
      <c r="E17" s="136"/>
      <c r="F17" s="136"/>
      <c r="G17" s="136"/>
      <c r="H17" s="136"/>
      <c r="I17" s="136"/>
      <c r="J17" s="137"/>
      <c r="K17" s="9"/>
      <c r="L17" s="30"/>
      <c r="M17" s="25"/>
      <c r="N17" s="25"/>
      <c r="O17" s="25"/>
      <c r="P17" s="25"/>
      <c r="Q17" s="25"/>
      <c r="R17" s="25"/>
      <c r="S17" s="25"/>
      <c r="T17" s="25"/>
      <c r="U17" s="35"/>
    </row>
    <row r="18" spans="2:21" ht="15.6" x14ac:dyDescent="0.3">
      <c r="B18" s="38" t="s">
        <v>23</v>
      </c>
      <c r="C18" s="135" t="s">
        <v>193</v>
      </c>
      <c r="D18" s="136"/>
      <c r="E18" s="136"/>
      <c r="F18" s="136"/>
      <c r="G18" s="136"/>
      <c r="H18" s="136"/>
      <c r="I18" s="136"/>
      <c r="J18" s="137"/>
      <c r="K18" s="89" t="str">
        <f>IF(C14=6,"ОПНВН6","ОПНВН10")</f>
        <v>ОПНВН10</v>
      </c>
      <c r="L18" s="63"/>
      <c r="M18" s="41"/>
      <c r="N18" s="41"/>
      <c r="O18" s="41"/>
      <c r="P18" s="41"/>
      <c r="Q18" s="41"/>
      <c r="R18" s="41"/>
      <c r="S18" s="41"/>
      <c r="T18" s="25"/>
      <c r="U18" s="35"/>
    </row>
    <row r="19" spans="2:21" ht="15.6" x14ac:dyDescent="0.3">
      <c r="B19" s="61" t="s">
        <v>132</v>
      </c>
      <c r="C19" s="135" t="s">
        <v>17</v>
      </c>
      <c r="D19" s="136"/>
      <c r="E19" s="136"/>
      <c r="F19" s="136"/>
      <c r="G19" s="136"/>
      <c r="H19" s="136"/>
      <c r="I19" s="136"/>
      <c r="J19" s="137"/>
      <c r="K19" s="39" t="str">
        <f>IF((C19="Да")*AND(C10&gt;250), "ОШИБКА", "")</f>
        <v/>
      </c>
      <c r="L19" s="30"/>
      <c r="M19" s="41"/>
      <c r="N19" s="41"/>
      <c r="O19" s="25"/>
      <c r="P19" s="25"/>
      <c r="Q19" s="25"/>
      <c r="R19" s="25"/>
      <c r="S19" s="25"/>
      <c r="T19" s="25"/>
      <c r="U19" s="35"/>
    </row>
    <row r="20" spans="2:21" ht="15.6" x14ac:dyDescent="0.3">
      <c r="B20" s="38" t="s">
        <v>18</v>
      </c>
      <c r="C20" s="135" t="s">
        <v>39</v>
      </c>
      <c r="D20" s="136"/>
      <c r="E20" s="136"/>
      <c r="F20" s="136"/>
      <c r="G20" s="136"/>
      <c r="H20" s="136"/>
      <c r="I20" s="136"/>
      <c r="J20" s="137"/>
      <c r="K20" s="39" t="str">
        <f>IF((C19="Да")*AND(OR((C20="ВНАп"),(C20="РВЗ"))), "ОШИБКА", "")</f>
        <v/>
      </c>
      <c r="L20" s="30"/>
      <c r="M20" s="41"/>
      <c r="N20" s="41"/>
      <c r="O20" s="25"/>
      <c r="P20" s="25"/>
      <c r="Q20" s="25"/>
      <c r="R20" s="25"/>
      <c r="S20" s="25"/>
      <c r="T20" s="25"/>
      <c r="U20" s="35"/>
    </row>
    <row r="21" spans="2:21" x14ac:dyDescent="0.3">
      <c r="B21" s="38" t="s">
        <v>22</v>
      </c>
      <c r="C21" s="138" t="s">
        <v>267</v>
      </c>
      <c r="D21" s="139"/>
      <c r="E21" s="139"/>
      <c r="F21" s="139"/>
      <c r="G21" s="139"/>
      <c r="H21" s="139"/>
      <c r="I21" s="139"/>
      <c r="J21" s="140"/>
      <c r="K21" s="89" t="str">
        <f>IF(C14=6,"ПКТ6","ПКТ10")</f>
        <v>ПКТ10</v>
      </c>
      <c r="T21" s="25"/>
      <c r="U21" s="35"/>
    </row>
    <row r="22" spans="2:21" x14ac:dyDescent="0.3">
      <c r="B22" s="47"/>
      <c r="C22" s="80" t="s">
        <v>143</v>
      </c>
      <c r="D22" s="81"/>
      <c r="E22" s="81"/>
      <c r="F22" s="82"/>
      <c r="G22" s="83" t="str">
        <f>INDEX(Списки!C23:K24,MATCH(ОЛ!C14,Списки!B23:B24,0),MATCH(C10,Списки!C19:K19,0))</f>
        <v>ПКТ 102-10-31,5-31,5 У3</v>
      </c>
      <c r="H22" s="81"/>
      <c r="I22" s="81"/>
      <c r="J22" s="84"/>
      <c r="K22" s="9"/>
      <c r="L22" s="10"/>
      <c r="M22" s="25"/>
      <c r="N22" s="25"/>
      <c r="O22" s="64"/>
      <c r="P22" s="25"/>
      <c r="Q22" s="25"/>
      <c r="R22" s="25"/>
      <c r="S22" s="25"/>
      <c r="T22" s="25"/>
      <c r="U22" s="35"/>
    </row>
    <row r="23" spans="2:21" x14ac:dyDescent="0.3">
      <c r="B23" s="37" t="s">
        <v>30</v>
      </c>
      <c r="C23" s="9"/>
      <c r="D23" s="9"/>
      <c r="E23" s="9"/>
      <c r="F23" s="9"/>
      <c r="G23" s="9"/>
      <c r="H23" s="9"/>
      <c r="I23" s="9"/>
      <c r="J23" s="9"/>
      <c r="K23" s="9"/>
      <c r="L23" s="10"/>
      <c r="M23" s="25"/>
      <c r="N23" s="25"/>
      <c r="O23" s="25"/>
      <c r="P23" s="25"/>
      <c r="Q23" s="25"/>
      <c r="R23" s="25"/>
      <c r="S23" s="25"/>
      <c r="T23" s="25"/>
      <c r="U23" s="35"/>
    </row>
    <row r="24" spans="2:21" x14ac:dyDescent="0.3">
      <c r="B24" s="48" t="s">
        <v>24</v>
      </c>
      <c r="C24" s="128" t="s">
        <v>26</v>
      </c>
      <c r="D24" s="129"/>
      <c r="E24" s="129"/>
      <c r="F24" s="129"/>
      <c r="G24" s="129"/>
      <c r="H24" s="129"/>
      <c r="I24" s="129"/>
      <c r="J24" s="130"/>
      <c r="K24" s="9"/>
      <c r="L24" s="30"/>
      <c r="M24" s="41"/>
      <c r="N24" s="41"/>
      <c r="O24" s="25"/>
      <c r="P24" s="25"/>
      <c r="Q24" s="25"/>
      <c r="R24" s="25"/>
      <c r="S24" s="25"/>
      <c r="T24" s="25"/>
      <c r="U24" s="35"/>
    </row>
    <row r="25" spans="2:21" x14ac:dyDescent="0.3">
      <c r="B25" s="45" t="s">
        <v>29</v>
      </c>
      <c r="C25" s="163">
        <f>IF(C24="РЕ 19-35",250,IF(C24="РЕ 19-37",400,IF(C24="РЕ 19-39",630,IF(C24="РЕ 19-41",1000,IF(C24="РЕ 19-43",1600," ")))))</f>
        <v>400</v>
      </c>
      <c r="D25" s="164"/>
      <c r="E25" s="164"/>
      <c r="F25" s="164"/>
      <c r="G25" s="164"/>
      <c r="H25" s="164"/>
      <c r="I25" s="164"/>
      <c r="J25" s="165"/>
      <c r="K25" s="9"/>
      <c r="L25" s="30"/>
      <c r="M25" s="41"/>
      <c r="N25" s="41"/>
      <c r="O25" s="25"/>
      <c r="P25" s="25"/>
      <c r="Q25" s="25"/>
      <c r="R25" s="25"/>
      <c r="S25" s="25"/>
      <c r="T25" s="25"/>
      <c r="U25" s="35"/>
    </row>
    <row r="26" spans="2:21" x14ac:dyDescent="0.3">
      <c r="B26" s="48" t="s">
        <v>31</v>
      </c>
      <c r="C26" s="128" t="s">
        <v>162</v>
      </c>
      <c r="D26" s="129"/>
      <c r="E26" s="129"/>
      <c r="F26" s="129"/>
      <c r="G26" s="129"/>
      <c r="H26" s="129"/>
      <c r="I26" s="129"/>
      <c r="J26" s="130"/>
      <c r="K26" s="9"/>
      <c r="L26" s="30"/>
      <c r="M26" s="41"/>
      <c r="N26" s="41"/>
      <c r="O26" s="25"/>
      <c r="P26" s="25"/>
      <c r="Q26" s="25"/>
      <c r="R26" s="25"/>
      <c r="S26" s="25"/>
      <c r="T26" s="25"/>
      <c r="U26" s="35"/>
    </row>
    <row r="27" spans="2:21" x14ac:dyDescent="0.3">
      <c r="B27" s="45" t="s">
        <v>29</v>
      </c>
      <c r="C27" s="156">
        <v>400</v>
      </c>
      <c r="D27" s="157"/>
      <c r="E27" s="157"/>
      <c r="F27" s="157"/>
      <c r="G27" s="157"/>
      <c r="H27" s="157"/>
      <c r="I27" s="157"/>
      <c r="J27" s="158"/>
      <c r="K27" s="9" t="str">
        <f ca="1">IFERROR(IF(MATCH(C27,INDIRECT($C$26),0)&gt;0," "," "),"О")</f>
        <v xml:space="preserve"> </v>
      </c>
      <c r="L27" s="30"/>
      <c r="M27" s="41"/>
      <c r="N27" s="41"/>
      <c r="O27" s="25"/>
      <c r="P27" s="25"/>
      <c r="Q27" s="25"/>
      <c r="R27" s="25"/>
      <c r="S27" s="25"/>
      <c r="T27" s="25"/>
      <c r="U27" s="35"/>
    </row>
    <row r="28" spans="2:21" x14ac:dyDescent="0.3">
      <c r="B28" s="38" t="s">
        <v>74</v>
      </c>
      <c r="C28" s="138" t="s">
        <v>35</v>
      </c>
      <c r="D28" s="136"/>
      <c r="E28" s="136"/>
      <c r="F28" s="136"/>
      <c r="G28" s="136"/>
      <c r="H28" s="136"/>
      <c r="I28" s="136"/>
      <c r="J28" s="137"/>
      <c r="K28" s="9" t="s">
        <v>75</v>
      </c>
      <c r="L28" s="125" t="s">
        <v>84</v>
      </c>
      <c r="M28" s="126"/>
      <c r="N28" s="127"/>
      <c r="O28" s="25"/>
      <c r="Q28" s="25"/>
      <c r="R28" s="25"/>
      <c r="S28" s="25"/>
      <c r="T28" s="25"/>
      <c r="U28" s="35"/>
    </row>
    <row r="29" spans="2:21" x14ac:dyDescent="0.3">
      <c r="B29" s="38" t="s">
        <v>36</v>
      </c>
      <c r="C29" s="138" t="s">
        <v>16</v>
      </c>
      <c r="D29" s="136"/>
      <c r="E29" s="136"/>
      <c r="F29" s="136"/>
      <c r="G29" s="136"/>
      <c r="H29" s="136"/>
      <c r="I29" s="136"/>
      <c r="J29" s="137"/>
      <c r="K29" s="9"/>
      <c r="L29" s="30"/>
      <c r="M29" s="41"/>
      <c r="N29" s="41"/>
      <c r="O29" s="25"/>
      <c r="P29" s="49" t="str">
        <f>IF(L30=" "," ","2 комплекта")</f>
        <v>2 комплекта</v>
      </c>
      <c r="Q29" s="25"/>
      <c r="R29" s="25"/>
      <c r="S29" s="25"/>
      <c r="T29" s="25"/>
      <c r="U29" s="35"/>
    </row>
    <row r="30" spans="2:21" x14ac:dyDescent="0.3">
      <c r="B30" s="38" t="s">
        <v>50</v>
      </c>
      <c r="C30" s="138" t="s">
        <v>16</v>
      </c>
      <c r="D30" s="136"/>
      <c r="E30" s="136"/>
      <c r="F30" s="136"/>
      <c r="G30" s="136"/>
      <c r="H30" s="136"/>
      <c r="I30" s="136"/>
      <c r="J30" s="137"/>
      <c r="K30" s="36"/>
      <c r="L30" s="125" t="str">
        <f>IF(C30="Да",L28," ")</f>
        <v>400/5</v>
      </c>
      <c r="M30" s="126"/>
      <c r="N30" s="127"/>
      <c r="O30" s="25"/>
      <c r="P30" s="25"/>
      <c r="Q30" s="25"/>
      <c r="R30" s="25"/>
      <c r="S30" s="25"/>
      <c r="T30" s="25"/>
      <c r="U30" s="35"/>
    </row>
    <row r="31" spans="2:21" x14ac:dyDescent="0.3">
      <c r="B31" s="38" t="s">
        <v>37</v>
      </c>
      <c r="C31" s="138" t="s">
        <v>214</v>
      </c>
      <c r="D31" s="136"/>
      <c r="E31" s="136"/>
      <c r="F31" s="136"/>
      <c r="G31" s="136"/>
      <c r="H31" s="136"/>
      <c r="I31" s="136"/>
      <c r="J31" s="137"/>
      <c r="K31" s="36"/>
      <c r="L31" s="63"/>
      <c r="M31" s="41"/>
      <c r="N31" s="41"/>
      <c r="O31" s="25"/>
      <c r="P31" s="25"/>
      <c r="Q31" s="25"/>
      <c r="R31" s="25"/>
      <c r="S31" s="25"/>
      <c r="T31" s="25"/>
      <c r="U31" s="35"/>
    </row>
    <row r="32" spans="2:21" x14ac:dyDescent="0.3">
      <c r="B32" s="50"/>
      <c r="C32" s="36"/>
      <c r="D32" s="36"/>
      <c r="E32" s="36"/>
      <c r="F32" s="36"/>
      <c r="G32" s="36"/>
      <c r="H32" s="36"/>
      <c r="I32" s="36"/>
      <c r="J32" s="36"/>
      <c r="K32" s="36"/>
      <c r="L32" s="25"/>
      <c r="M32" s="25"/>
      <c r="N32" s="25"/>
      <c r="O32" s="25"/>
      <c r="P32" s="25"/>
      <c r="Q32" s="25"/>
      <c r="R32" s="25"/>
      <c r="S32" s="25"/>
      <c r="T32" s="25"/>
      <c r="U32" s="35"/>
    </row>
    <row r="33" spans="2:21" x14ac:dyDescent="0.3">
      <c r="B33" s="37" t="s">
        <v>238</v>
      </c>
      <c r="C33" s="9"/>
      <c r="D33" s="9"/>
      <c r="E33" s="9"/>
      <c r="F33" s="9"/>
      <c r="G33" s="9"/>
      <c r="H33" s="36"/>
      <c r="I33" s="36"/>
      <c r="J33" s="36"/>
      <c r="K33" s="36"/>
      <c r="L33" s="25"/>
      <c r="M33" s="25"/>
      <c r="N33" s="25"/>
      <c r="O33" s="25"/>
      <c r="P33" s="25"/>
      <c r="Q33" s="25"/>
      <c r="R33" s="25"/>
      <c r="S33" s="25"/>
      <c r="T33" s="25"/>
      <c r="U33" s="35"/>
    </row>
    <row r="34" spans="2:21" ht="16.2" customHeight="1" x14ac:dyDescent="0.3">
      <c r="B34" s="102" t="s">
        <v>239</v>
      </c>
      <c r="C34" s="173">
        <v>220</v>
      </c>
      <c r="D34" s="174"/>
      <c r="E34" s="174"/>
      <c r="F34" s="174"/>
      <c r="G34" s="174"/>
      <c r="H34" s="174"/>
      <c r="I34" s="174"/>
      <c r="J34" s="174"/>
      <c r="K34" s="36"/>
      <c r="L34" s="41"/>
      <c r="M34" s="25"/>
      <c r="N34" s="25"/>
      <c r="O34" s="25"/>
      <c r="P34" s="25"/>
      <c r="Q34" s="25"/>
      <c r="R34" s="25"/>
      <c r="S34" s="25"/>
      <c r="T34" s="25"/>
      <c r="U34" s="35"/>
    </row>
    <row r="35" spans="2:21" x14ac:dyDescent="0.3">
      <c r="B35" s="50"/>
      <c r="C35" s="36"/>
      <c r="D35" s="36"/>
      <c r="E35" s="36"/>
      <c r="F35" s="36"/>
      <c r="G35" s="36"/>
      <c r="H35" s="36"/>
      <c r="I35" s="36"/>
      <c r="J35" s="36"/>
      <c r="K35" s="36"/>
      <c r="L35" s="25"/>
      <c r="M35" s="25"/>
      <c r="N35" s="25"/>
      <c r="O35" s="25"/>
      <c r="P35" s="25"/>
      <c r="Q35" s="25"/>
      <c r="R35" s="25"/>
      <c r="S35" s="25"/>
      <c r="T35" s="25"/>
      <c r="U35" s="35"/>
    </row>
    <row r="36" spans="2:21" ht="15" customHeight="1" x14ac:dyDescent="0.3">
      <c r="B36" s="37" t="s">
        <v>41</v>
      </c>
      <c r="C36" s="74" t="str">
        <f ca="1">IFERROR(IF(MATCH(C38,INDIRECT($C$37),0)&gt;=0," "," "),"О")</f>
        <v xml:space="preserve"> </v>
      </c>
      <c r="D36" s="74" t="str">
        <f ca="1">IFERROR(IF(MATCH(D38,INDIRECT($D$37),0)&gt;=0," "," "),"О")</f>
        <v xml:space="preserve"> </v>
      </c>
      <c r="E36" s="74" t="str">
        <f ca="1">IFERROR(IF(MATCH(E38,INDIRECT($E$37),0)&gt;=0," "," "),"О")</f>
        <v xml:space="preserve"> </v>
      </c>
      <c r="F36" s="74" t="str">
        <f ca="1">IFERROR(IF(MATCH(F38,INDIRECT($F$37),0)&gt;=0," "," "),"О")</f>
        <v xml:space="preserve"> </v>
      </c>
      <c r="G36" s="74" t="str">
        <f ca="1">IFERROR(IF(MATCH(G38,INDIRECT($G$37),0)&gt;=0," "," "),"О")</f>
        <v xml:space="preserve"> </v>
      </c>
      <c r="H36" s="74" t="str">
        <f ca="1">IFERROR(IF(MATCH(H38,INDIRECT($H$37),0)&gt;=0," "," "),"О")</f>
        <v xml:space="preserve"> </v>
      </c>
      <c r="I36" s="74" t="str">
        <f ca="1">IFERROR(IF(MATCH(I38,INDIRECT($I$37),0)&gt;=0," "," "),"О")</f>
        <v xml:space="preserve"> </v>
      </c>
      <c r="J36" s="74" t="str">
        <f ca="1">IFERROR(IF(MATCH(J38,INDIRECT($J$37),0)&gt;=0," "," "),"О")</f>
        <v xml:space="preserve"> </v>
      </c>
      <c r="K36" s="74" t="str">
        <f ca="1">IFERROR(IF(MATCH(K38,INDIRECT($K$37),0)&gt;=0," "," "),"О")</f>
        <v xml:space="preserve"> </v>
      </c>
      <c r="L36" s="74" t="str">
        <f ca="1">IFERROR(IF(MATCH(L38,INDIRECT($L$37),0)&gt;=0," "," "),"О")</f>
        <v xml:space="preserve"> </v>
      </c>
      <c r="M36" s="74" t="str">
        <f ca="1">IFERROR(IF(MATCH(M38,INDIRECT($M$37),0)&gt;=0," "," "),"О")</f>
        <v xml:space="preserve"> </v>
      </c>
      <c r="N36" s="74" t="str">
        <f ca="1">IFERROR(IF(MATCH(N38,INDIRECT($N$37),0)&gt;=0," "," "),"О")</f>
        <v xml:space="preserve"> </v>
      </c>
      <c r="O36" s="1"/>
      <c r="P36" s="1"/>
      <c r="Q36" s="1"/>
      <c r="R36" s="1"/>
      <c r="S36" s="1"/>
      <c r="T36" s="1"/>
      <c r="U36" s="35"/>
    </row>
    <row r="37" spans="2:21" ht="57" customHeight="1" x14ac:dyDescent="0.3">
      <c r="B37" s="51" t="s">
        <v>42</v>
      </c>
      <c r="C37" s="73" t="s">
        <v>160</v>
      </c>
      <c r="D37" s="73" t="s">
        <v>160</v>
      </c>
      <c r="E37" s="73" t="s">
        <v>160</v>
      </c>
      <c r="F37" s="73" t="s">
        <v>19</v>
      </c>
      <c r="G37" s="73" t="s">
        <v>19</v>
      </c>
      <c r="H37" s="73" t="s">
        <v>19</v>
      </c>
      <c r="I37" s="73" t="s">
        <v>19</v>
      </c>
      <c r="J37" s="73" t="s">
        <v>19</v>
      </c>
      <c r="K37" s="73" t="s">
        <v>19</v>
      </c>
      <c r="L37" s="73" t="s">
        <v>19</v>
      </c>
      <c r="M37" s="73" t="s">
        <v>19</v>
      </c>
      <c r="N37" s="73" t="s">
        <v>19</v>
      </c>
      <c r="O37" s="1"/>
      <c r="P37" s="1"/>
      <c r="Q37" s="1"/>
      <c r="R37" s="1"/>
      <c r="S37" s="1"/>
      <c r="T37" s="1"/>
      <c r="U37" s="35"/>
    </row>
    <row r="38" spans="2:21" x14ac:dyDescent="0.3">
      <c r="B38" s="46" t="s">
        <v>29</v>
      </c>
      <c r="C38" s="31">
        <v>160</v>
      </c>
      <c r="D38" s="31">
        <v>80</v>
      </c>
      <c r="E38" s="31">
        <v>50</v>
      </c>
      <c r="F38" s="31" t="s">
        <v>172</v>
      </c>
      <c r="G38" s="31" t="s">
        <v>172</v>
      </c>
      <c r="H38" s="31" t="s">
        <v>172</v>
      </c>
      <c r="I38" s="31" t="s">
        <v>172</v>
      </c>
      <c r="J38" s="31" t="s">
        <v>172</v>
      </c>
      <c r="K38" s="31" t="s">
        <v>172</v>
      </c>
      <c r="L38" s="31" t="s">
        <v>172</v>
      </c>
      <c r="M38" s="31" t="s">
        <v>172</v>
      </c>
      <c r="N38" s="31" t="s">
        <v>172</v>
      </c>
      <c r="O38" s="1"/>
      <c r="P38" s="1"/>
      <c r="Q38" s="1"/>
      <c r="R38" s="1"/>
      <c r="S38" s="1"/>
      <c r="T38" s="1"/>
      <c r="U38" s="35"/>
    </row>
    <row r="39" spans="2:21" x14ac:dyDescent="0.3">
      <c r="B39" s="52" t="s">
        <v>43</v>
      </c>
      <c r="C39" s="31">
        <v>1</v>
      </c>
      <c r="D39" s="32">
        <v>3</v>
      </c>
      <c r="E39" s="32">
        <v>1</v>
      </c>
      <c r="F39" s="32"/>
      <c r="G39" s="32"/>
      <c r="H39" s="32"/>
      <c r="I39" s="32"/>
      <c r="J39" s="32"/>
      <c r="K39" s="32"/>
      <c r="L39" s="32"/>
      <c r="M39" s="32"/>
      <c r="N39" s="32"/>
      <c r="O39" s="1"/>
      <c r="P39" s="1"/>
      <c r="Q39" s="1"/>
      <c r="R39" s="1"/>
      <c r="S39" s="1"/>
      <c r="T39" s="1"/>
      <c r="U39" s="35"/>
    </row>
    <row r="40" spans="2:21" x14ac:dyDescent="0.3">
      <c r="B40" s="46" t="s">
        <v>44</v>
      </c>
      <c r="C40" s="178" t="str">
        <f>"Всего линий: "&amp;SUM(C39:N39)&amp;"   (! Не более "&amp;Списки!C103&amp;"шт  габарита ВА04-36)"</f>
        <v>Всего линий: 5   (! Не более 12шт  габарита ВА04-36)</v>
      </c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"/>
      <c r="P40" s="1"/>
      <c r="Q40" s="1"/>
      <c r="R40" s="1"/>
      <c r="S40" s="1"/>
      <c r="T40" s="1"/>
      <c r="U40" s="35"/>
    </row>
    <row r="41" spans="2:21" x14ac:dyDescent="0.3">
      <c r="B41" s="46" t="s">
        <v>52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1"/>
      <c r="P41" s="1"/>
      <c r="Q41" s="1"/>
      <c r="R41" s="1"/>
      <c r="S41" s="1"/>
      <c r="T41" s="1"/>
      <c r="U41" s="35"/>
    </row>
    <row r="42" spans="2:21" ht="114" customHeight="1" x14ac:dyDescent="0.3">
      <c r="B42" s="46" t="s">
        <v>191</v>
      </c>
      <c r="C42" s="76" t="s">
        <v>19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1"/>
      <c r="P42" s="1"/>
      <c r="Q42" s="1"/>
      <c r="R42" s="1"/>
      <c r="S42" s="1"/>
      <c r="T42" s="1"/>
      <c r="U42" s="35"/>
    </row>
    <row r="43" spans="2:21" x14ac:dyDescent="0.3">
      <c r="B43" s="50"/>
      <c r="C43" s="77" t="s">
        <v>194</v>
      </c>
      <c r="D43" s="36"/>
      <c r="E43" s="36"/>
      <c r="F43" s="36"/>
      <c r="G43" s="36"/>
      <c r="H43" s="36"/>
      <c r="I43" s="36"/>
      <c r="J43" s="36"/>
      <c r="K43" s="36"/>
      <c r="L43" s="25"/>
      <c r="M43" s="25"/>
      <c r="N43" s="25"/>
      <c r="O43" s="25"/>
      <c r="P43" s="25"/>
      <c r="Q43" s="25"/>
      <c r="R43" s="25"/>
      <c r="S43" s="25"/>
      <c r="T43" s="25"/>
      <c r="U43" s="35"/>
    </row>
    <row r="44" spans="2:21" x14ac:dyDescent="0.3">
      <c r="B44" s="50"/>
      <c r="C44" s="36"/>
      <c r="D44" s="36"/>
      <c r="E44" s="36"/>
      <c r="F44" s="36"/>
      <c r="G44" s="36"/>
      <c r="H44" s="36"/>
      <c r="I44" s="36"/>
      <c r="J44" s="36"/>
      <c r="K44" s="36"/>
      <c r="L44" s="25"/>
      <c r="M44" s="25"/>
      <c r="N44" s="25"/>
      <c r="O44" s="25"/>
      <c r="P44" s="25"/>
      <c r="Q44" s="25"/>
      <c r="R44" s="25"/>
      <c r="S44" s="25"/>
      <c r="T44" s="25"/>
      <c r="U44" s="35"/>
    </row>
    <row r="45" spans="2:21" x14ac:dyDescent="0.3">
      <c r="B45" s="53" t="s">
        <v>60</v>
      </c>
      <c r="C45" s="128" t="s">
        <v>66</v>
      </c>
      <c r="D45" s="129"/>
      <c r="E45" s="129"/>
      <c r="F45" s="129"/>
      <c r="G45" s="129"/>
      <c r="H45" s="129"/>
      <c r="I45" s="129"/>
      <c r="J45" s="130"/>
      <c r="K45" s="36"/>
      <c r="L45" s="41" t="s">
        <v>125</v>
      </c>
      <c r="M45" s="41"/>
      <c r="N45" s="41"/>
      <c r="O45" s="41"/>
      <c r="P45" s="41"/>
      <c r="Q45" s="41" t="s">
        <v>125</v>
      </c>
      <c r="R45" s="41"/>
      <c r="S45" s="41"/>
      <c r="T45" s="25"/>
      <c r="U45" s="35"/>
    </row>
    <row r="46" spans="2:21" x14ac:dyDescent="0.3">
      <c r="B46" s="54" t="s">
        <v>61</v>
      </c>
      <c r="C46" s="175" t="s">
        <v>248</v>
      </c>
      <c r="D46" s="176"/>
      <c r="E46" s="176"/>
      <c r="F46" s="176"/>
      <c r="G46" s="176"/>
      <c r="H46" s="176"/>
      <c r="I46" s="176"/>
      <c r="J46" s="177"/>
      <c r="K46" s="36"/>
      <c r="L46" s="162"/>
      <c r="M46" s="162"/>
      <c r="N46" s="162"/>
      <c r="O46" s="162"/>
      <c r="P46" s="162"/>
      <c r="Q46" s="162"/>
      <c r="R46" s="162"/>
      <c r="S46" s="162"/>
      <c r="T46" s="25"/>
      <c r="U46" s="35"/>
    </row>
    <row r="47" spans="2:21" x14ac:dyDescent="0.3">
      <c r="B47" s="46" t="s">
        <v>71</v>
      </c>
      <c r="C47" s="138" t="s">
        <v>17</v>
      </c>
      <c r="D47" s="136"/>
      <c r="E47" s="136"/>
      <c r="F47" s="136"/>
      <c r="G47" s="136"/>
      <c r="H47" s="136"/>
      <c r="I47" s="136"/>
      <c r="J47" s="137"/>
      <c r="K47" s="36"/>
      <c r="L47" s="41" t="s">
        <v>125</v>
      </c>
      <c r="M47" s="41" t="s">
        <v>125</v>
      </c>
      <c r="N47" s="41"/>
      <c r="O47" s="41"/>
      <c r="P47" s="41"/>
      <c r="Q47" s="41"/>
      <c r="R47" s="41"/>
      <c r="S47" s="41"/>
      <c r="T47" s="25"/>
      <c r="U47" s="35"/>
    </row>
    <row r="48" spans="2:21" x14ac:dyDescent="0.3">
      <c r="B48" s="46" t="s">
        <v>72</v>
      </c>
      <c r="C48" s="159" t="s">
        <v>19</v>
      </c>
      <c r="D48" s="160"/>
      <c r="E48" s="160"/>
      <c r="F48" s="160"/>
      <c r="G48" s="160"/>
      <c r="H48" s="160"/>
      <c r="I48" s="160"/>
      <c r="J48" s="161"/>
      <c r="K48" s="36"/>
      <c r="L48" s="162"/>
      <c r="M48" s="162"/>
      <c r="N48" s="162"/>
      <c r="O48" s="162"/>
      <c r="P48" s="162"/>
      <c r="Q48" s="162"/>
      <c r="R48" s="162"/>
      <c r="S48" s="162"/>
      <c r="T48" s="25"/>
      <c r="U48" s="35"/>
    </row>
    <row r="49" spans="1:21" x14ac:dyDescent="0.3">
      <c r="B49" s="53" t="s">
        <v>59</v>
      </c>
      <c r="C49" s="128" t="s">
        <v>19</v>
      </c>
      <c r="D49" s="129"/>
      <c r="E49" s="129"/>
      <c r="F49" s="129"/>
      <c r="G49" s="129"/>
      <c r="H49" s="129"/>
      <c r="I49" s="129"/>
      <c r="J49" s="130"/>
      <c r="K49" s="36"/>
      <c r="L49" s="162"/>
      <c r="M49" s="162"/>
      <c r="N49" s="162"/>
      <c r="O49" s="162"/>
      <c r="P49" s="162"/>
      <c r="Q49" s="162"/>
      <c r="R49" s="162"/>
      <c r="S49" s="162"/>
      <c r="T49" s="25"/>
      <c r="U49" s="35"/>
    </row>
    <row r="50" spans="1:21" x14ac:dyDescent="0.3">
      <c r="B50" s="55" t="s">
        <v>70</v>
      </c>
      <c r="C50" s="156" t="s">
        <v>19</v>
      </c>
      <c r="D50" s="157"/>
      <c r="E50" s="157"/>
      <c r="F50" s="157"/>
      <c r="G50" s="157"/>
      <c r="H50" s="157"/>
      <c r="I50" s="157"/>
      <c r="J50" s="158"/>
      <c r="K50" s="36"/>
      <c r="L50" s="162"/>
      <c r="M50" s="162"/>
      <c r="N50" s="162"/>
      <c r="O50" s="162"/>
      <c r="P50" s="162"/>
      <c r="Q50" s="162"/>
      <c r="R50" s="162"/>
      <c r="S50" s="162"/>
      <c r="T50" s="25"/>
      <c r="U50" s="35"/>
    </row>
    <row r="51" spans="1:21" x14ac:dyDescent="0.3">
      <c r="B51" s="50"/>
      <c r="C51" s="36"/>
      <c r="D51" s="36"/>
      <c r="E51" s="36"/>
      <c r="F51" s="36"/>
      <c r="G51" s="36"/>
      <c r="H51" s="36"/>
      <c r="I51" s="36"/>
      <c r="J51" s="36"/>
      <c r="K51" s="36"/>
      <c r="L51" s="25"/>
      <c r="M51" s="25"/>
      <c r="N51" s="25"/>
      <c r="O51" s="25"/>
      <c r="P51" s="25"/>
      <c r="Q51" s="25"/>
      <c r="R51" s="25"/>
      <c r="S51" s="25"/>
      <c r="T51" s="25"/>
      <c r="U51" s="35"/>
    </row>
    <row r="52" spans="1:21" x14ac:dyDescent="0.3">
      <c r="B52" s="142" t="s">
        <v>55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4"/>
    </row>
    <row r="53" spans="1:21" x14ac:dyDescent="0.3">
      <c r="B53" s="145" t="str">
        <f>"Габаритные размеры: длина "&amp;Списки!C77&amp;" мм, ширина "&amp;Списки!E77&amp;" мм, высота "&amp;Списки!G77&amp;" мм.  См. Руководство по проектированию, Табл.А.1"</f>
        <v>Габаритные размеры: длина 3800 мм, ширина 2420 мм, высота 4700 мм.  См. Руководство по проектированию, Табл.А.1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7"/>
    </row>
    <row r="54" spans="1:21" x14ac:dyDescent="0.3">
      <c r="B54" s="145" t="str">
        <f>"Размеры основания подстанции: длина "&amp;Списки!C89&amp;" мм, ширина "&amp;Списки!E89&amp;" мм"</f>
        <v>Размеры основания подстанции: длина 3600 мм, ширина 2200 мм</v>
      </c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7"/>
    </row>
    <row r="55" spans="1:21" x14ac:dyDescent="0.3">
      <c r="B55" s="148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50"/>
    </row>
    <row r="56" spans="1:21" x14ac:dyDescent="0.3">
      <c r="B56" s="151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52"/>
    </row>
    <row r="57" spans="1:21" x14ac:dyDescent="0.3">
      <c r="B57" s="151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52"/>
    </row>
    <row r="58" spans="1:21" x14ac:dyDescent="0.3">
      <c r="B58" s="151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52"/>
    </row>
    <row r="59" spans="1:21" x14ac:dyDescent="0.3">
      <c r="B59" s="151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52"/>
    </row>
    <row r="60" spans="1:21" x14ac:dyDescent="0.3">
      <c r="B60" s="151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52"/>
    </row>
    <row r="61" spans="1:21" x14ac:dyDescent="0.3">
      <c r="B61" s="151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52"/>
    </row>
    <row r="62" spans="1:21" ht="15" thickBot="1" x14ac:dyDescent="0.35">
      <c r="A62" s="20"/>
      <c r="B62" s="56" t="s">
        <v>62</v>
      </c>
      <c r="C62" s="21" t="str">
        <f>Списки!A7&amp;"КТПК-"&amp;LEFT(C8,1)&amp;"-"&amp;LEFT(C15,1)&amp;LEFT(C16,1)&amp;"-"&amp;C10&amp;"/"&amp;C14&amp;"/0,4 "&amp;C17</f>
        <v>КТПК-Т-ВВ-250/10/0,4 УХЛ1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57"/>
    </row>
    <row r="63" spans="1:21" ht="21.6" thickBot="1" x14ac:dyDescent="0.45">
      <c r="B63" s="15" t="s">
        <v>54</v>
      </c>
      <c r="C63" s="153">
        <v>1</v>
      </c>
      <c r="D63" s="154"/>
      <c r="E63" s="154"/>
      <c r="F63" s="154"/>
      <c r="G63" s="154"/>
      <c r="H63" s="154"/>
      <c r="I63" s="154"/>
      <c r="J63" s="155"/>
      <c r="K63" s="36"/>
      <c r="L63" s="25"/>
      <c r="M63" s="25"/>
      <c r="N63" s="25"/>
      <c r="O63" s="25"/>
      <c r="P63" s="25"/>
      <c r="Q63" s="25"/>
      <c r="R63" s="25"/>
      <c r="S63" s="25"/>
      <c r="T63" s="25"/>
      <c r="U63" s="35"/>
    </row>
    <row r="64" spans="1:21" ht="11.25" customHeight="1" thickBot="1" x14ac:dyDescent="0.35">
      <c r="B64" s="50"/>
      <c r="C64" s="36"/>
      <c r="D64" s="36"/>
      <c r="E64" s="36"/>
      <c r="F64" s="36"/>
      <c r="G64" s="36"/>
      <c r="H64" s="36"/>
      <c r="I64" s="36"/>
      <c r="J64" s="36"/>
      <c r="K64" s="36"/>
      <c r="L64" s="25"/>
      <c r="M64" s="25"/>
      <c r="N64" s="25"/>
      <c r="O64" s="25"/>
      <c r="P64" s="25"/>
      <c r="Q64" s="25"/>
      <c r="R64" s="25"/>
      <c r="S64" s="25"/>
      <c r="T64" s="25"/>
      <c r="U64" s="35"/>
    </row>
    <row r="65" spans="2:21" ht="30" customHeight="1" thickBot="1" x14ac:dyDescent="0.35">
      <c r="B65" s="141" t="s">
        <v>221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4"/>
    </row>
    <row r="67" spans="2:21" x14ac:dyDescent="0.3">
      <c r="B67" s="97"/>
    </row>
  </sheetData>
  <dataConsolidate/>
  <mergeCells count="55">
    <mergeCell ref="L46:S46"/>
    <mergeCell ref="C34:J34"/>
    <mergeCell ref="C46:J46"/>
    <mergeCell ref="C45:J45"/>
    <mergeCell ref="C40:N40"/>
    <mergeCell ref="C31:J31"/>
    <mergeCell ref="C30:J30"/>
    <mergeCell ref="C29:J29"/>
    <mergeCell ref="C25:J25"/>
    <mergeCell ref="O4:Q4"/>
    <mergeCell ref="C14:J14"/>
    <mergeCell ref="C15:J15"/>
    <mergeCell ref="C19:J19"/>
    <mergeCell ref="C7:J7"/>
    <mergeCell ref="C8:J8"/>
    <mergeCell ref="C9:J9"/>
    <mergeCell ref="C10:J10"/>
    <mergeCell ref="L30:N30"/>
    <mergeCell ref="C11:J11"/>
    <mergeCell ref="C28:J28"/>
    <mergeCell ref="C27:J27"/>
    <mergeCell ref="C50:J50"/>
    <mergeCell ref="C49:J49"/>
    <mergeCell ref="C48:J48"/>
    <mergeCell ref="L48:S48"/>
    <mergeCell ref="C47:J47"/>
    <mergeCell ref="L49:S49"/>
    <mergeCell ref="L50:S50"/>
    <mergeCell ref="B65:U65"/>
    <mergeCell ref="B52:U52"/>
    <mergeCell ref="B53:U53"/>
    <mergeCell ref="B55:U55"/>
    <mergeCell ref="B56:U56"/>
    <mergeCell ref="B57:U57"/>
    <mergeCell ref="B58:U58"/>
    <mergeCell ref="B61:U61"/>
    <mergeCell ref="B59:U59"/>
    <mergeCell ref="B60:U60"/>
    <mergeCell ref="C63:J63"/>
    <mergeCell ref="B54:U54"/>
    <mergeCell ref="L28:N28"/>
    <mergeCell ref="C24:J24"/>
    <mergeCell ref="C13:J13"/>
    <mergeCell ref="C12:J12"/>
    <mergeCell ref="C20:J20"/>
    <mergeCell ref="C26:J26"/>
    <mergeCell ref="C16:J16"/>
    <mergeCell ref="C17:J17"/>
    <mergeCell ref="C18:J18"/>
    <mergeCell ref="C21:J21"/>
    <mergeCell ref="N10:Q11"/>
    <mergeCell ref="C1:U1"/>
    <mergeCell ref="C2:U2"/>
    <mergeCell ref="C3:U3"/>
    <mergeCell ref="B6:U6"/>
  </mergeCells>
  <conditionalFormatting sqref="K27">
    <cfRule type="containsText" dxfId="5" priority="10" operator="containsText" text="О">
      <formula>NOT(ISERROR(SEARCH("О",K27)))</formula>
    </cfRule>
  </conditionalFormatting>
  <conditionalFormatting sqref="C27:J27">
    <cfRule type="containsText" dxfId="4" priority="9" operator="containsText" text="О">
      <formula>NOT(ISERROR(SEARCH("О",C27)))</formula>
    </cfRule>
  </conditionalFormatting>
  <conditionalFormatting sqref="C36:N36">
    <cfRule type="containsText" dxfId="3" priority="7" operator="containsText" text="О">
      <formula>NOT(ISERROR(SEARCH("О",C36)))</formula>
    </cfRule>
  </conditionalFormatting>
  <conditionalFormatting sqref="L48:S48">
    <cfRule type="expression" dxfId="2" priority="5">
      <formula>$C$39="Другой"</formula>
    </cfRule>
  </conditionalFormatting>
  <conditionalFormatting sqref="L49:S49">
    <cfRule type="expression" dxfId="1" priority="2">
      <formula>$C$40="Другой"</formula>
    </cfRule>
  </conditionalFormatting>
  <conditionalFormatting sqref="L50:S50">
    <cfRule type="expression" dxfId="0" priority="1">
      <formula>$C$41="Другой"</formula>
    </cfRule>
  </conditionalFormatting>
  <dataValidations count="41">
    <dataValidation type="list" allowBlank="1" showInputMessage="1" showErrorMessage="1" sqref="C39:N39">
      <formula1>КолОЛ</formula1>
    </dataValidation>
    <dataValidation type="list" allowBlank="1" showInputMessage="1" showErrorMessage="1" sqref="C45">
      <formula1>Типсчетчика</formula1>
    </dataValidation>
    <dataValidation type="list" allowBlank="1" showInputMessage="1" showErrorMessage="1" sqref="C15:C16">
      <formula1>ВоздухКабель</formula1>
    </dataValidation>
    <dataValidation type="list" allowBlank="1" showInputMessage="1" showErrorMessage="1" sqref="L28 C41:N41">
      <formula1>Тртока</formula1>
    </dataValidation>
    <dataValidation type="list" allowBlank="1" showInputMessage="1" showErrorMessage="1" sqref="C10">
      <formula1>Мощность</formula1>
    </dataValidation>
    <dataValidation type="list" allowBlank="1" showInputMessage="1" showErrorMessage="1" sqref="C12:J12">
      <formula1>Типтр</formula1>
    </dataValidation>
    <dataValidation type="list" allowBlank="1" showInputMessage="1" showErrorMessage="1" sqref="C13">
      <formula1>Схематр</formula1>
    </dataValidation>
    <dataValidation type="list" allowBlank="1" showInputMessage="1" showErrorMessage="1" sqref="C14">
      <formula1>Uном</formula1>
    </dataValidation>
    <dataValidation type="list" allowBlank="1" showInputMessage="1" showErrorMessage="1" sqref="C9">
      <formula1>Колтр</formula1>
    </dataValidation>
    <dataValidation type="list" allowBlank="1" showInputMessage="1" showErrorMessage="1" sqref="C8">
      <formula1>Тупиковая</formula1>
    </dataValidation>
    <dataValidation type="list" allowBlank="1" showInputMessage="1" showErrorMessage="1" sqref="C20">
      <formula1>ВНАп</formula1>
    </dataValidation>
    <dataValidation type="list" allowBlank="1" showInputMessage="1" showErrorMessage="1" sqref="C31">
      <formula1>ОПННН</formula1>
    </dataValidation>
    <dataValidation type="list" allowBlank="1" showInputMessage="1" showErrorMessage="1" sqref="C24">
      <formula1>разъединительввод</formula1>
    </dataValidation>
    <dataValidation type="list" allowBlank="1" showInputMessage="1" showErrorMessage="1" sqref="C29">
      <formula1>Вольтметр</formula1>
    </dataValidation>
    <dataValidation type="list" allowBlank="1" showInputMessage="1" showErrorMessage="1" sqref="C30">
      <formula1>Амперметры</formula1>
    </dataValidation>
    <dataValidation type="list" allowBlank="1" showInputMessage="1" showErrorMessage="1" sqref="C28">
      <formula1>Тртокаввод</formula1>
    </dataValidation>
    <dataValidation type="list" allowBlank="1" showInputMessage="1" showErrorMessage="1" sqref="C17">
      <formula1>Климат</formula1>
    </dataValidation>
    <dataValidation type="list" allowBlank="1" showInputMessage="1" showErrorMessage="1" sqref="C50">
      <formula1>Фотореле</formula1>
    </dataValidation>
    <dataValidation type="list" allowBlank="1" showInputMessage="1" showErrorMessage="1" sqref="C49">
      <formula1>Фидер</formula1>
    </dataValidation>
    <dataValidation type="list" allowBlank="1" showInputMessage="1" showErrorMessage="1" sqref="C47">
      <formula1>GSM</formula1>
    </dataValidation>
    <dataValidation type="list" allowBlank="1" showInputMessage="1" showErrorMessage="1" sqref="C46">
      <formula1>Счетчик</formula1>
    </dataValidation>
    <dataValidation type="list" allowBlank="1" showInputMessage="1" showErrorMessage="1" sqref="C48">
      <formula1>Комм</formula1>
    </dataValidation>
    <dataValidation type="list" allowBlank="1" showInputMessage="1" showErrorMessage="1" sqref="C11:J11">
      <formula1>ВентТО</formula1>
    </dataValidation>
    <dataValidation type="list" allowBlank="1" showInputMessage="1" showErrorMessage="1" sqref="C21:J21">
      <formula1>INDIRECT($K$21)</formula1>
    </dataValidation>
    <dataValidation type="list" allowBlank="1" showInputMessage="1" showErrorMessage="1" sqref="C19:J19">
      <formula1>МГ</formula1>
    </dataValidation>
    <dataValidation type="list" allowBlank="1" showInputMessage="1" showErrorMessage="1" sqref="C26:J26 C37:N37">
      <formula1>автоматы</formula1>
    </dataValidation>
    <dataValidation type="list" allowBlank="1" showInputMessage="1" showErrorMessage="1" sqref="C27:J27">
      <formula1>INDIRECT($C$26)</formula1>
    </dataValidation>
    <dataValidation type="list" allowBlank="1" showInputMessage="1" showErrorMessage="1" sqref="C38">
      <formula1>INDIRECT($C$37)</formula1>
    </dataValidation>
    <dataValidation type="list" allowBlank="1" showInputMessage="1" showErrorMessage="1" sqref="D38">
      <formula1>INDIRECT($D$37)</formula1>
    </dataValidation>
    <dataValidation type="list" allowBlank="1" showInputMessage="1" showErrorMessage="1" sqref="I38">
      <formula1>INDIRECT($I$37)</formula1>
    </dataValidation>
    <dataValidation type="list" allowBlank="1" showInputMessage="1" showErrorMessage="1" sqref="J38">
      <formula1>INDIRECT($J$37)</formula1>
    </dataValidation>
    <dataValidation type="list" allowBlank="1" showInputMessage="1" showErrorMessage="1" sqref="K38">
      <formula1>INDIRECT($K$37)</formula1>
    </dataValidation>
    <dataValidation type="list" allowBlank="1" showInputMessage="1" showErrorMessage="1" sqref="L38">
      <formula1>INDIRECT($L$37)</formula1>
    </dataValidation>
    <dataValidation type="list" allowBlank="1" showInputMessage="1" showErrorMessage="1" sqref="M38">
      <formula1>INDIRECT($M$37)</formula1>
    </dataValidation>
    <dataValidation type="list" allowBlank="1" showInputMessage="1" showErrorMessage="1" sqref="N38">
      <formula1>INDIRECT($N$37)</formula1>
    </dataValidation>
    <dataValidation type="list" showInputMessage="1" showErrorMessage="1" sqref="C42:N42">
      <formula1>Счетчик</formula1>
    </dataValidation>
    <dataValidation type="list" allowBlank="1" showInputMessage="1" showErrorMessage="1" sqref="E38">
      <formula1>INDIRECT($E$37)</formula1>
    </dataValidation>
    <dataValidation type="list" allowBlank="1" showInputMessage="1" showErrorMessage="1" sqref="F38">
      <formula1>INDIRECT($F$37)</formula1>
    </dataValidation>
    <dataValidation type="list" allowBlank="1" showInputMessage="1" showErrorMessage="1" sqref="G38">
      <formula1>INDIRECT($G$37)</formula1>
    </dataValidation>
    <dataValidation type="list" allowBlank="1" showInputMessage="1" showErrorMessage="1" sqref="H38">
      <formula1>INDIRECT($H$37)</formula1>
    </dataValidation>
    <dataValidation type="list" showInputMessage="1" showErrorMessage="1" sqref="C18:J18">
      <formula1>INDIRECT($K$18)</formula1>
    </dataValidation>
  </dataValidations>
  <hyperlinks>
    <hyperlink ref="C5" r:id="rId1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1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Списки!$C$38:$F$38</xm:f>
          </x14:formula1>
          <xm:sqref>C34:J34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6:AA104"/>
  <sheetViews>
    <sheetView topLeftCell="A65" zoomScale="115" zoomScaleNormal="115" workbookViewId="0">
      <selection activeCell="E82" sqref="E82"/>
    </sheetView>
  </sheetViews>
  <sheetFormatPr defaultColWidth="9.109375" defaultRowHeight="13.8" x14ac:dyDescent="0.25"/>
  <cols>
    <col min="1" max="1" width="9.109375" style="5"/>
    <col min="2" max="2" width="42.5546875" style="5" customWidth="1"/>
    <col min="3" max="3" width="8.88671875" style="5" customWidth="1"/>
    <col min="4" max="4" width="8.44140625" style="5" customWidth="1"/>
    <col min="5" max="5" width="13.44140625" style="5" customWidth="1"/>
    <col min="6" max="21" width="12.109375" style="5" customWidth="1"/>
    <col min="22" max="16384" width="9.109375" style="5"/>
  </cols>
  <sheetData>
    <row r="6" spans="1:22" x14ac:dyDescent="0.25">
      <c r="A6" s="2"/>
      <c r="B6" s="3" t="s">
        <v>38</v>
      </c>
      <c r="C6" s="34" t="s">
        <v>1</v>
      </c>
      <c r="D6" s="34" t="s">
        <v>2</v>
      </c>
    </row>
    <row r="7" spans="1:22" x14ac:dyDescent="0.25">
      <c r="A7" s="2" t="str">
        <f>IF(ОЛ!C9=2,2,"")</f>
        <v/>
      </c>
      <c r="B7" s="3" t="s">
        <v>3</v>
      </c>
      <c r="C7" s="4">
        <v>1</v>
      </c>
      <c r="D7" s="4">
        <v>2</v>
      </c>
    </row>
    <row r="8" spans="1:22" x14ac:dyDescent="0.25">
      <c r="A8" s="2"/>
      <c r="B8" s="6" t="s">
        <v>4</v>
      </c>
      <c r="C8" s="7">
        <v>25</v>
      </c>
      <c r="D8" s="7">
        <v>40</v>
      </c>
      <c r="E8" s="7">
        <v>63</v>
      </c>
      <c r="F8" s="7">
        <v>100</v>
      </c>
      <c r="G8" s="7">
        <v>160</v>
      </c>
      <c r="H8" s="7">
        <v>250</v>
      </c>
      <c r="I8" s="7">
        <v>400</v>
      </c>
      <c r="J8" s="7">
        <v>630</v>
      </c>
      <c r="K8" s="8">
        <v>1000</v>
      </c>
    </row>
    <row r="9" spans="1:22" x14ac:dyDescent="0.25">
      <c r="A9" s="2"/>
      <c r="B9" s="6" t="s">
        <v>98</v>
      </c>
      <c r="C9" s="7" t="s">
        <v>16</v>
      </c>
      <c r="D9" s="7" t="s">
        <v>19</v>
      </c>
      <c r="E9" s="7"/>
      <c r="F9" s="7"/>
      <c r="G9" s="7"/>
      <c r="H9" s="7"/>
      <c r="I9" s="7"/>
      <c r="J9" s="7"/>
      <c r="K9" s="8"/>
    </row>
    <row r="10" spans="1:22" x14ac:dyDescent="0.25">
      <c r="A10" s="2"/>
      <c r="B10" s="6" t="s">
        <v>5</v>
      </c>
      <c r="C10" s="7" t="s">
        <v>6</v>
      </c>
      <c r="D10" s="5" t="s">
        <v>220</v>
      </c>
      <c r="E10" s="7" t="s">
        <v>218</v>
      </c>
      <c r="F10" s="14" t="s">
        <v>219</v>
      </c>
      <c r="G10" s="7" t="s">
        <v>19</v>
      </c>
      <c r="H10" s="7"/>
      <c r="I10" s="7"/>
      <c r="J10" s="7"/>
      <c r="K10" s="7"/>
    </row>
    <row r="11" spans="1:22" x14ac:dyDescent="0.25">
      <c r="A11" s="2"/>
      <c r="B11" s="10" t="s">
        <v>7</v>
      </c>
      <c r="C11" s="9" t="s">
        <v>8</v>
      </c>
      <c r="D11" s="9" t="s">
        <v>9</v>
      </c>
      <c r="F11" s="9" t="s">
        <v>10</v>
      </c>
      <c r="G11" s="9"/>
      <c r="H11" s="9"/>
      <c r="I11" s="9"/>
      <c r="J11" s="9"/>
      <c r="K11" s="9"/>
    </row>
    <row r="12" spans="1:22" ht="27.6" x14ac:dyDescent="0.25">
      <c r="A12" s="2"/>
      <c r="B12" s="11" t="s">
        <v>11</v>
      </c>
      <c r="C12" s="7">
        <v>6</v>
      </c>
      <c r="D12" s="7">
        <v>10</v>
      </c>
      <c r="E12" s="9"/>
      <c r="F12" s="4"/>
      <c r="G12" s="4"/>
      <c r="H12" s="4"/>
      <c r="I12" s="4"/>
      <c r="J12" s="4"/>
      <c r="K12" s="4"/>
    </row>
    <row r="13" spans="1:22" x14ac:dyDescent="0.25">
      <c r="A13" s="2"/>
      <c r="B13" s="10" t="s">
        <v>12</v>
      </c>
      <c r="C13" s="9" t="s">
        <v>13</v>
      </c>
      <c r="D13" s="9" t="s">
        <v>14</v>
      </c>
      <c r="E13" s="9"/>
      <c r="F13" s="4"/>
      <c r="G13" s="4"/>
      <c r="H13" s="4"/>
      <c r="I13" s="4"/>
      <c r="J13" s="4"/>
      <c r="K13" s="4"/>
    </row>
    <row r="14" spans="1:22" x14ac:dyDescent="0.25">
      <c r="A14" s="2"/>
      <c r="B14" s="10" t="s">
        <v>15</v>
      </c>
      <c r="C14" s="9" t="s">
        <v>13</v>
      </c>
      <c r="D14" s="9" t="s">
        <v>14</v>
      </c>
      <c r="E14" s="9"/>
      <c r="F14" s="4"/>
      <c r="G14" s="4"/>
      <c r="H14" s="4"/>
      <c r="I14" s="4"/>
      <c r="J14" s="4"/>
      <c r="K14" s="4"/>
    </row>
    <row r="15" spans="1:22" x14ac:dyDescent="0.25">
      <c r="A15" s="2"/>
      <c r="B15" s="5" t="s">
        <v>56</v>
      </c>
      <c r="C15" s="14" t="s">
        <v>57</v>
      </c>
      <c r="D15" s="14" t="s">
        <v>58</v>
      </c>
      <c r="E15" s="9"/>
      <c r="F15" s="4"/>
      <c r="G15" s="4"/>
      <c r="H15" s="4"/>
      <c r="I15" s="4"/>
      <c r="J15" s="4"/>
      <c r="K15" s="4"/>
    </row>
    <row r="16" spans="1:22" ht="14.4" x14ac:dyDescent="0.25">
      <c r="A16" s="2"/>
      <c r="B16" s="3" t="s">
        <v>23</v>
      </c>
      <c r="C16" s="75" t="s">
        <v>176</v>
      </c>
      <c r="D16" s="75" t="s">
        <v>177</v>
      </c>
      <c r="E16" s="75" t="s">
        <v>178</v>
      </c>
      <c r="F16" s="75" t="s">
        <v>179</v>
      </c>
      <c r="G16" s="75" t="s">
        <v>180</v>
      </c>
      <c r="H16" s="75" t="s">
        <v>181</v>
      </c>
      <c r="I16" s="75" t="s">
        <v>182</v>
      </c>
      <c r="J16" s="75" t="s">
        <v>183</v>
      </c>
      <c r="K16" s="75"/>
      <c r="L16" s="5" t="s">
        <v>19</v>
      </c>
      <c r="M16" s="75" t="s">
        <v>184</v>
      </c>
      <c r="N16" s="75" t="s">
        <v>185</v>
      </c>
      <c r="O16" s="75" t="s">
        <v>193</v>
      </c>
      <c r="P16" s="75" t="s">
        <v>186</v>
      </c>
      <c r="Q16" s="75" t="s">
        <v>187</v>
      </c>
      <c r="R16" s="75" t="s">
        <v>188</v>
      </c>
      <c r="S16" s="75" t="s">
        <v>189</v>
      </c>
      <c r="T16" s="75" t="s">
        <v>190</v>
      </c>
      <c r="U16" s="75" t="s">
        <v>173</v>
      </c>
      <c r="V16" s="5" t="s">
        <v>19</v>
      </c>
    </row>
    <row r="17" spans="1:23" x14ac:dyDescent="0.25">
      <c r="A17" s="2"/>
      <c r="B17" s="5" t="s">
        <v>130</v>
      </c>
      <c r="C17" s="4" t="s">
        <v>16</v>
      </c>
      <c r="D17" s="4" t="s">
        <v>17</v>
      </c>
      <c r="E17" s="4"/>
      <c r="F17" s="4"/>
      <c r="G17" s="4"/>
      <c r="H17" s="4"/>
      <c r="I17" s="4"/>
      <c r="J17" s="4"/>
      <c r="K17" s="4"/>
    </row>
    <row r="18" spans="1:23" x14ac:dyDescent="0.25">
      <c r="A18" s="2"/>
      <c r="B18" s="3" t="s">
        <v>18</v>
      </c>
      <c r="C18" s="12" t="s">
        <v>19</v>
      </c>
      <c r="D18" s="4" t="s">
        <v>39</v>
      </c>
      <c r="E18" s="4" t="s">
        <v>20</v>
      </c>
      <c r="F18" s="5" t="s">
        <v>217</v>
      </c>
      <c r="G18" s="4" t="s">
        <v>21</v>
      </c>
      <c r="H18" s="4"/>
      <c r="I18" s="4"/>
      <c r="J18" s="4"/>
      <c r="K18" s="4"/>
    </row>
    <row r="19" spans="1:23" x14ac:dyDescent="0.25">
      <c r="A19" s="2"/>
      <c r="B19" s="3"/>
      <c r="C19" s="12">
        <f>C8</f>
        <v>25</v>
      </c>
      <c r="D19" s="12">
        <f t="shared" ref="D19:K19" si="0">D8</f>
        <v>40</v>
      </c>
      <c r="E19" s="12">
        <f t="shared" si="0"/>
        <v>63</v>
      </c>
      <c r="F19" s="12">
        <f t="shared" si="0"/>
        <v>100</v>
      </c>
      <c r="G19" s="12">
        <f t="shared" si="0"/>
        <v>160</v>
      </c>
      <c r="H19" s="12">
        <f t="shared" si="0"/>
        <v>250</v>
      </c>
      <c r="I19" s="12">
        <f t="shared" si="0"/>
        <v>400</v>
      </c>
      <c r="J19" s="12">
        <v>630</v>
      </c>
      <c r="K19" s="12">
        <f t="shared" si="0"/>
        <v>1000</v>
      </c>
    </row>
    <row r="20" spans="1:23" x14ac:dyDescent="0.25">
      <c r="A20" s="2"/>
      <c r="B20" s="3"/>
      <c r="C20" s="12"/>
      <c r="D20" s="12"/>
      <c r="E20" s="12"/>
      <c r="F20" s="12"/>
      <c r="G20" s="12"/>
      <c r="H20" s="12"/>
      <c r="I20" s="12"/>
      <c r="J20" s="12"/>
      <c r="K20" s="12"/>
    </row>
    <row r="21" spans="1:23" x14ac:dyDescent="0.25">
      <c r="A21" s="2"/>
      <c r="B21" s="3"/>
      <c r="C21" s="12"/>
      <c r="D21" s="12"/>
      <c r="E21" s="12"/>
      <c r="F21" s="12"/>
      <c r="G21" s="12"/>
      <c r="H21" s="12"/>
      <c r="I21" s="12"/>
      <c r="J21" s="12"/>
      <c r="K21" s="12"/>
    </row>
    <row r="22" spans="1:23" ht="31.2" x14ac:dyDescent="0.25">
      <c r="A22" s="2"/>
      <c r="B22" s="3"/>
      <c r="C22" s="12"/>
      <c r="D22" s="12"/>
      <c r="E22" s="12"/>
      <c r="F22" s="12"/>
      <c r="G22" s="12"/>
      <c r="H22" s="28" t="str">
        <f>IF((ОЛ!C19="Нет"),"ПКТ 102-6-40-31,5 У3","")</f>
        <v>ПКТ 102-6-40-31,5 У3</v>
      </c>
      <c r="I22" s="12"/>
      <c r="J22" s="12"/>
      <c r="K22" s="12"/>
    </row>
    <row r="23" spans="1:23" ht="46.8" x14ac:dyDescent="0.25">
      <c r="B23" s="90">
        <v>6</v>
      </c>
      <c r="C23" s="28" t="s">
        <v>99</v>
      </c>
      <c r="D23" s="28" t="s">
        <v>100</v>
      </c>
      <c r="E23" s="28" t="s">
        <v>101</v>
      </c>
      <c r="F23" s="28" t="s">
        <v>102</v>
      </c>
      <c r="G23" s="28" t="s">
        <v>103</v>
      </c>
      <c r="H23" s="28" t="str">
        <f>IF(H22="","ПКТ 101-6-31,5-12,5 У3",H22)</f>
        <v>ПКТ 102-6-40-31,5 У3</v>
      </c>
      <c r="I23" s="28" t="s">
        <v>104</v>
      </c>
      <c r="J23" s="28" t="s">
        <v>105</v>
      </c>
      <c r="K23" s="28" t="s">
        <v>106</v>
      </c>
      <c r="L23" s="5" t="s">
        <v>19</v>
      </c>
    </row>
    <row r="24" spans="1:23" ht="65.25" customHeight="1" x14ac:dyDescent="0.25">
      <c r="B24" s="90">
        <v>10</v>
      </c>
      <c r="C24" s="28" t="s">
        <v>133</v>
      </c>
      <c r="D24" s="28" t="s">
        <v>134</v>
      </c>
      <c r="E24" s="28" t="s">
        <v>107</v>
      </c>
      <c r="F24" s="28" t="s">
        <v>108</v>
      </c>
      <c r="G24" s="28" t="s">
        <v>109</v>
      </c>
      <c r="H24" s="28" t="str">
        <f>IF(H25="","ПКТ 101-10-20-12,5 У3",H25)</f>
        <v>ПКТ 102-10-31,5-31,5 У3</v>
      </c>
      <c r="I24" s="28" t="s">
        <v>110</v>
      </c>
      <c r="J24" s="28" t="s">
        <v>111</v>
      </c>
      <c r="K24" s="28" t="s">
        <v>112</v>
      </c>
      <c r="L24" s="5" t="s">
        <v>19</v>
      </c>
    </row>
    <row r="25" spans="1:23" ht="65.25" customHeight="1" x14ac:dyDescent="0.25">
      <c r="B25" s="3"/>
      <c r="C25" s="62"/>
      <c r="D25" s="62"/>
      <c r="E25" s="62"/>
      <c r="F25" s="62"/>
      <c r="G25" s="62"/>
      <c r="H25" s="28" t="str">
        <f>IF((ОЛ!C19="Нет"),"ПКТ 102-10-31,5-31,5 У3","")</f>
        <v>ПКТ 102-10-31,5-31,5 У3</v>
      </c>
      <c r="I25" s="62"/>
      <c r="J25" s="62"/>
      <c r="K25" s="62"/>
    </row>
    <row r="26" spans="1:23" x14ac:dyDescent="0.25">
      <c r="B26" s="13" t="s">
        <v>30</v>
      </c>
      <c r="C26" s="4"/>
      <c r="D26" s="4"/>
      <c r="E26" s="4"/>
      <c r="F26" s="4"/>
      <c r="G26" s="4"/>
    </row>
    <row r="28" spans="1:23" x14ac:dyDescent="0.25">
      <c r="A28" s="2"/>
      <c r="B28" s="3" t="s">
        <v>24</v>
      </c>
      <c r="C28" s="4" t="s">
        <v>25</v>
      </c>
      <c r="D28" s="4" t="s">
        <v>26</v>
      </c>
      <c r="E28" s="4" t="s">
        <v>27</v>
      </c>
      <c r="F28" s="4" t="s">
        <v>28</v>
      </c>
      <c r="G28" s="4" t="s">
        <v>126</v>
      </c>
      <c r="H28" s="4" t="s">
        <v>19</v>
      </c>
    </row>
    <row r="29" spans="1:23" x14ac:dyDescent="0.25">
      <c r="A29" s="2"/>
      <c r="B29" s="3" t="s">
        <v>29</v>
      </c>
      <c r="C29" s="4">
        <v>250</v>
      </c>
      <c r="D29" s="4">
        <v>400</v>
      </c>
      <c r="E29" s="4">
        <v>630</v>
      </c>
      <c r="F29" s="4">
        <v>1000</v>
      </c>
      <c r="G29" s="4">
        <v>1600</v>
      </c>
    </row>
    <row r="30" spans="1:23" x14ac:dyDescent="0.25">
      <c r="A30" s="2"/>
      <c r="B30" s="3" t="s">
        <v>31</v>
      </c>
      <c r="C30" s="4" t="s">
        <v>32</v>
      </c>
      <c r="D30" s="4" t="s">
        <v>128</v>
      </c>
      <c r="E30" s="4" t="s">
        <v>46</v>
      </c>
      <c r="F30" s="4" t="s">
        <v>92</v>
      </c>
      <c r="G30" s="4" t="s">
        <v>33</v>
      </c>
      <c r="H30" s="4" t="s">
        <v>127</v>
      </c>
      <c r="I30" s="5" t="s">
        <v>146</v>
      </c>
      <c r="J30" s="5" t="s">
        <v>148</v>
      </c>
      <c r="K30" s="5" t="s">
        <v>145</v>
      </c>
      <c r="L30" s="4" t="s">
        <v>19</v>
      </c>
    </row>
    <row r="31" spans="1:23" x14ac:dyDescent="0.25">
      <c r="A31" s="2"/>
      <c r="B31" s="3" t="s">
        <v>29</v>
      </c>
      <c r="C31" s="7">
        <v>25</v>
      </c>
      <c r="D31" s="7">
        <v>40</v>
      </c>
      <c r="E31" s="7">
        <v>63</v>
      </c>
      <c r="F31" s="7">
        <v>100</v>
      </c>
      <c r="G31" s="7">
        <v>160</v>
      </c>
      <c r="H31" s="5">
        <v>200</v>
      </c>
      <c r="I31" s="4">
        <v>250</v>
      </c>
      <c r="J31" s="14">
        <v>400</v>
      </c>
      <c r="K31" s="4">
        <v>630</v>
      </c>
      <c r="L31" s="5">
        <v>1000</v>
      </c>
      <c r="M31" s="4">
        <v>1600</v>
      </c>
    </row>
    <row r="32" spans="1:23" x14ac:dyDescent="0.25">
      <c r="A32" s="2"/>
      <c r="B32" s="3" t="s">
        <v>34</v>
      </c>
      <c r="C32" s="4" t="s">
        <v>35</v>
      </c>
      <c r="D32" s="4">
        <v>0.5</v>
      </c>
      <c r="E32" s="14">
        <v>1</v>
      </c>
      <c r="F32" s="4" t="s">
        <v>19</v>
      </c>
      <c r="G32" s="4" t="s">
        <v>135</v>
      </c>
      <c r="H32" s="14" t="s">
        <v>76</v>
      </c>
      <c r="I32" s="14" t="s">
        <v>77</v>
      </c>
      <c r="J32" s="14" t="s">
        <v>81</v>
      </c>
      <c r="K32" s="14" t="s">
        <v>78</v>
      </c>
      <c r="L32" s="14" t="s">
        <v>79</v>
      </c>
      <c r="M32" s="14" t="s">
        <v>80</v>
      </c>
      <c r="N32" s="14" t="s">
        <v>82</v>
      </c>
      <c r="O32" s="14" t="s">
        <v>83</v>
      </c>
      <c r="P32" s="14" t="s">
        <v>84</v>
      </c>
      <c r="Q32" s="14" t="s">
        <v>85</v>
      </c>
      <c r="R32" s="14" t="s">
        <v>86</v>
      </c>
      <c r="S32" s="14" t="s">
        <v>87</v>
      </c>
      <c r="T32" s="14" t="s">
        <v>88</v>
      </c>
      <c r="U32" s="14" t="s">
        <v>89</v>
      </c>
      <c r="V32" s="14" t="s">
        <v>90</v>
      </c>
      <c r="W32" s="14" t="s">
        <v>91</v>
      </c>
    </row>
    <row r="33" spans="1:24" x14ac:dyDescent="0.25">
      <c r="A33" s="2"/>
      <c r="B33" s="3" t="s">
        <v>36</v>
      </c>
      <c r="C33" s="14" t="s">
        <v>16</v>
      </c>
      <c r="D33" s="14" t="s">
        <v>19</v>
      </c>
      <c r="F33" s="14"/>
      <c r="G33" s="14"/>
    </row>
    <row r="34" spans="1:24" x14ac:dyDescent="0.25">
      <c r="A34" s="2"/>
      <c r="B34" s="3" t="s">
        <v>50</v>
      </c>
      <c r="C34" s="14" t="s">
        <v>16</v>
      </c>
      <c r="D34" s="14" t="s">
        <v>19</v>
      </c>
    </row>
    <row r="35" spans="1:24" ht="14.4" x14ac:dyDescent="0.25">
      <c r="A35" s="2"/>
      <c r="B35" s="3" t="s">
        <v>37</v>
      </c>
      <c r="C35" s="75" t="s">
        <v>174</v>
      </c>
      <c r="D35" s="75" t="s">
        <v>175</v>
      </c>
      <c r="E35" s="75" t="s">
        <v>214</v>
      </c>
      <c r="F35" s="75" t="s">
        <v>215</v>
      </c>
      <c r="G35" s="5" t="s">
        <v>19</v>
      </c>
    </row>
    <row r="37" spans="1:24" x14ac:dyDescent="0.25">
      <c r="A37" s="2"/>
      <c r="B37" s="13" t="s">
        <v>238</v>
      </c>
      <c r="C37" s="4"/>
      <c r="D37" s="4"/>
      <c r="E37" s="4"/>
      <c r="F37" s="4"/>
      <c r="G37" s="4"/>
      <c r="H37" s="14"/>
      <c r="I37" s="14"/>
      <c r="J37" s="14"/>
      <c r="K37" s="14"/>
    </row>
    <row r="38" spans="1:24" x14ac:dyDescent="0.25">
      <c r="A38" s="2"/>
      <c r="B38" s="3" t="s">
        <v>239</v>
      </c>
      <c r="C38" s="4" t="s">
        <v>17</v>
      </c>
      <c r="D38" s="5">
        <v>220</v>
      </c>
      <c r="E38" s="4">
        <v>36</v>
      </c>
      <c r="F38" s="4">
        <v>12</v>
      </c>
      <c r="G38" s="4"/>
      <c r="H38" s="4"/>
      <c r="I38" s="14"/>
      <c r="J38" s="14"/>
      <c r="K38" s="14"/>
    </row>
    <row r="39" spans="1:24" x14ac:dyDescent="0.25">
      <c r="A39" s="2"/>
      <c r="B39" s="3"/>
      <c r="C39" s="4"/>
      <c r="D39" s="4"/>
      <c r="E39" s="4"/>
      <c r="F39" s="4"/>
      <c r="G39" s="4"/>
      <c r="H39" s="4"/>
      <c r="I39" s="4"/>
      <c r="J39" s="4"/>
      <c r="L39" s="4"/>
    </row>
    <row r="40" spans="1:24" x14ac:dyDescent="0.25">
      <c r="A40" s="2"/>
      <c r="B40" s="3"/>
      <c r="C40" s="4"/>
      <c r="D40" s="4"/>
      <c r="E40" s="4"/>
      <c r="F40" s="4"/>
      <c r="G40" s="4"/>
      <c r="H40" s="4"/>
      <c r="I40" s="4"/>
      <c r="J40" s="4"/>
      <c r="K40" s="4"/>
    </row>
    <row r="41" spans="1:24" x14ac:dyDescent="0.25">
      <c r="A41" s="2"/>
      <c r="B41" s="3"/>
      <c r="C41" s="4"/>
      <c r="D41" s="4"/>
      <c r="E41" s="4"/>
      <c r="F41" s="4"/>
      <c r="G41" s="4"/>
      <c r="H41" s="4"/>
      <c r="I41" s="4"/>
      <c r="J41" s="4"/>
      <c r="L41" s="4"/>
    </row>
    <row r="42" spans="1:24" x14ac:dyDescent="0.25">
      <c r="C42" s="14"/>
      <c r="D42" s="14"/>
      <c r="E42" s="14"/>
      <c r="F42" s="14"/>
      <c r="G42" s="14"/>
      <c r="H42" s="14"/>
      <c r="I42" s="14"/>
      <c r="J42" s="14"/>
      <c r="K42" s="14"/>
    </row>
    <row r="43" spans="1:24" x14ac:dyDescent="0.25">
      <c r="A43" s="2"/>
      <c r="B43" s="13" t="s">
        <v>41</v>
      </c>
      <c r="C43" s="14"/>
      <c r="D43" s="14"/>
      <c r="E43" s="14"/>
      <c r="F43" s="14"/>
      <c r="G43" s="14"/>
      <c r="H43" s="14"/>
      <c r="I43" s="14"/>
      <c r="J43" s="14"/>
      <c r="K43" s="14"/>
    </row>
    <row r="44" spans="1:24" x14ac:dyDescent="0.25">
      <c r="A44" s="2"/>
      <c r="B44" s="5" t="s">
        <v>42</v>
      </c>
      <c r="C44" s="14" t="s">
        <v>32</v>
      </c>
      <c r="D44" s="14" t="s">
        <v>136</v>
      </c>
      <c r="E44" s="14" t="s">
        <v>137</v>
      </c>
      <c r="F44" s="5" t="s">
        <v>138</v>
      </c>
      <c r="G44" s="5" t="s">
        <v>139</v>
      </c>
      <c r="H44" s="5" t="s">
        <v>146</v>
      </c>
      <c r="J44" s="14" t="s">
        <v>128</v>
      </c>
      <c r="K44" s="14" t="s">
        <v>46</v>
      </c>
      <c r="L44" s="14" t="s">
        <v>92</v>
      </c>
      <c r="M44" s="14" t="s">
        <v>33</v>
      </c>
    </row>
    <row r="45" spans="1:24" x14ac:dyDescent="0.25">
      <c r="A45" s="2"/>
      <c r="B45" s="5" t="s">
        <v>29</v>
      </c>
      <c r="C45" s="14">
        <v>16</v>
      </c>
      <c r="D45" s="14">
        <v>20</v>
      </c>
      <c r="E45" s="14">
        <v>25</v>
      </c>
      <c r="F45" s="14">
        <v>31.5</v>
      </c>
      <c r="G45" s="14">
        <v>40</v>
      </c>
      <c r="H45" s="14">
        <v>50</v>
      </c>
      <c r="I45" s="14">
        <v>63</v>
      </c>
      <c r="J45" s="14">
        <v>80</v>
      </c>
      <c r="K45" s="14">
        <v>100</v>
      </c>
      <c r="L45" s="14">
        <v>125</v>
      </c>
      <c r="M45" s="14">
        <v>160</v>
      </c>
      <c r="N45" s="14">
        <v>200</v>
      </c>
      <c r="O45" s="14">
        <v>250</v>
      </c>
      <c r="P45" s="14">
        <v>320</v>
      </c>
      <c r="Q45" s="14">
        <v>400</v>
      </c>
      <c r="R45" s="14">
        <v>500</v>
      </c>
      <c r="S45" s="14">
        <v>630</v>
      </c>
      <c r="T45" s="14">
        <v>800</v>
      </c>
      <c r="U45" s="14">
        <v>1000</v>
      </c>
    </row>
    <row r="46" spans="1:24" x14ac:dyDescent="0.25">
      <c r="A46" s="2"/>
      <c r="B46" s="5" t="s">
        <v>43</v>
      </c>
      <c r="C46" s="14">
        <v>1</v>
      </c>
      <c r="D46" s="14">
        <v>2</v>
      </c>
      <c r="E46" s="14">
        <v>3</v>
      </c>
      <c r="F46" s="14">
        <v>4</v>
      </c>
      <c r="G46" s="14">
        <v>5</v>
      </c>
      <c r="H46" s="14">
        <v>6</v>
      </c>
      <c r="I46" s="14">
        <v>7</v>
      </c>
      <c r="J46" s="14">
        <v>8</v>
      </c>
      <c r="K46" s="14">
        <v>9</v>
      </c>
      <c r="L46" s="14">
        <v>10</v>
      </c>
      <c r="M46" s="14">
        <v>11</v>
      </c>
      <c r="N46" s="14">
        <v>12</v>
      </c>
      <c r="O46" s="14">
        <v>13</v>
      </c>
      <c r="P46" s="14">
        <v>14</v>
      </c>
      <c r="Q46" s="14">
        <v>15</v>
      </c>
      <c r="R46" s="14">
        <v>16</v>
      </c>
      <c r="S46" s="14">
        <v>17</v>
      </c>
      <c r="T46" s="14">
        <v>18</v>
      </c>
      <c r="U46" s="14">
        <v>19</v>
      </c>
      <c r="V46" s="14">
        <v>20</v>
      </c>
      <c r="W46" s="14">
        <v>21</v>
      </c>
      <c r="X46" s="14">
        <v>22</v>
      </c>
    </row>
    <row r="47" spans="1:24" x14ac:dyDescent="0.25">
      <c r="A47" s="2"/>
      <c r="B47" s="5" t="s">
        <v>44</v>
      </c>
      <c r="C47" s="14" t="s">
        <v>53</v>
      </c>
      <c r="D47" s="14"/>
      <c r="E47" s="14"/>
      <c r="F47" s="14"/>
      <c r="G47" s="14"/>
      <c r="H47" s="14"/>
      <c r="I47" s="14"/>
      <c r="J47" s="14"/>
      <c r="K47" s="14"/>
    </row>
    <row r="48" spans="1:24" x14ac:dyDescent="0.25">
      <c r="A48" s="2"/>
      <c r="B48" s="5" t="s">
        <v>45</v>
      </c>
      <c r="C48" s="14" t="s">
        <v>16</v>
      </c>
      <c r="D48" s="14" t="s">
        <v>19</v>
      </c>
      <c r="E48" s="14"/>
      <c r="F48" s="14"/>
      <c r="G48" s="14"/>
      <c r="H48" s="14"/>
      <c r="I48" s="14"/>
      <c r="J48" s="14"/>
      <c r="K48" s="14"/>
    </row>
    <row r="49" spans="1:27" x14ac:dyDescent="0.25">
      <c r="C49" s="14"/>
      <c r="D49" s="14"/>
      <c r="E49" s="14"/>
      <c r="F49" s="14"/>
      <c r="G49" s="14"/>
      <c r="H49" s="14"/>
      <c r="I49" s="14"/>
      <c r="J49" s="14"/>
      <c r="K49" s="14"/>
    </row>
    <row r="52" spans="1:27" x14ac:dyDescent="0.25">
      <c r="A52" s="2"/>
      <c r="B52" s="5" t="s">
        <v>60</v>
      </c>
      <c r="C52" s="5" t="s">
        <v>64</v>
      </c>
      <c r="D52" s="5" t="s">
        <v>65</v>
      </c>
      <c r="E52" s="5" t="s">
        <v>66</v>
      </c>
      <c r="F52" s="5" t="s">
        <v>19</v>
      </c>
    </row>
    <row r="53" spans="1:27" s="98" customFormat="1" ht="50.4" customHeight="1" x14ac:dyDescent="0.3">
      <c r="B53" s="98" t="s">
        <v>61</v>
      </c>
      <c r="C53" s="99" t="s">
        <v>19</v>
      </c>
      <c r="D53" s="100" t="s">
        <v>192</v>
      </c>
      <c r="E53" s="100" t="s">
        <v>226</v>
      </c>
      <c r="F53" s="100" t="s">
        <v>227</v>
      </c>
      <c r="G53" s="100" t="s">
        <v>228</v>
      </c>
      <c r="H53" s="100" t="s">
        <v>229</v>
      </c>
      <c r="I53" s="100" t="s">
        <v>230</v>
      </c>
      <c r="J53" s="100" t="s">
        <v>231</v>
      </c>
      <c r="K53" s="100" t="s">
        <v>232</v>
      </c>
      <c r="L53" s="100" t="s">
        <v>233</v>
      </c>
      <c r="M53" s="100" t="s">
        <v>234</v>
      </c>
      <c r="N53" s="100" t="s">
        <v>235</v>
      </c>
      <c r="O53" s="100" t="s">
        <v>236</v>
      </c>
      <c r="P53" s="100" t="s">
        <v>237</v>
      </c>
      <c r="Q53" s="107" t="s">
        <v>247</v>
      </c>
      <c r="R53" s="107" t="s">
        <v>248</v>
      </c>
      <c r="S53" s="107" t="s">
        <v>249</v>
      </c>
      <c r="T53" s="67"/>
      <c r="U53" s="67"/>
      <c r="AA53" s="98" t="s">
        <v>73</v>
      </c>
    </row>
    <row r="54" spans="1:27" s="67" customFormat="1" ht="55.2" customHeight="1" x14ac:dyDescent="0.25">
      <c r="A54" s="65"/>
      <c r="B54" s="66" t="s">
        <v>71</v>
      </c>
      <c r="D54" s="67" t="s">
        <v>144</v>
      </c>
      <c r="E54" s="67" t="s">
        <v>250</v>
      </c>
      <c r="G54" s="67" t="s">
        <v>142</v>
      </c>
      <c r="H54" s="67" t="s">
        <v>17</v>
      </c>
      <c r="T54" s="5"/>
      <c r="U54" s="5"/>
    </row>
    <row r="55" spans="1:27" ht="78" x14ac:dyDescent="0.25">
      <c r="A55" s="2"/>
      <c r="B55" s="5" t="s">
        <v>72</v>
      </c>
      <c r="E55" s="28" t="s">
        <v>196</v>
      </c>
      <c r="F55" s="28" t="s">
        <v>195</v>
      </c>
      <c r="G55" s="28" t="s">
        <v>114</v>
      </c>
      <c r="H55" s="28" t="s">
        <v>113</v>
      </c>
      <c r="I55" s="28" t="s">
        <v>115</v>
      </c>
      <c r="J55" s="28" t="s">
        <v>129</v>
      </c>
      <c r="K55" s="28" t="s">
        <v>118</v>
      </c>
      <c r="L55" s="28" t="s">
        <v>120</v>
      </c>
      <c r="M55" s="28"/>
      <c r="N55" s="28"/>
      <c r="O55" s="28"/>
      <c r="P55" s="28"/>
      <c r="Q55" s="28"/>
      <c r="R55" s="28" t="s">
        <v>73</v>
      </c>
      <c r="S55" s="5" t="s">
        <v>19</v>
      </c>
    </row>
    <row r="56" spans="1:27" ht="78" x14ac:dyDescent="0.25">
      <c r="E56" s="28"/>
      <c r="F56" s="28"/>
      <c r="G56" s="28"/>
      <c r="H56" s="28"/>
      <c r="I56" s="28" t="s">
        <v>122</v>
      </c>
      <c r="J56" s="28" t="s">
        <v>116</v>
      </c>
      <c r="K56" s="28"/>
      <c r="L56" s="28" t="s">
        <v>121</v>
      </c>
      <c r="M56" s="28"/>
      <c r="N56" s="28"/>
      <c r="O56" s="28"/>
      <c r="P56" s="28"/>
      <c r="Q56" s="28"/>
      <c r="R56" s="28"/>
    </row>
    <row r="57" spans="1:27" ht="78" x14ac:dyDescent="0.25">
      <c r="E57" s="28"/>
      <c r="F57" s="28"/>
      <c r="G57" s="28"/>
      <c r="H57" s="28"/>
      <c r="I57" s="28"/>
      <c r="J57" s="28" t="s">
        <v>117</v>
      </c>
      <c r="K57" s="28" t="s">
        <v>119</v>
      </c>
      <c r="L57" s="28"/>
      <c r="M57" s="28"/>
      <c r="N57" s="28"/>
      <c r="O57" s="28"/>
      <c r="P57" s="28"/>
      <c r="Q57" s="28"/>
      <c r="R57" s="28"/>
    </row>
    <row r="61" spans="1:27" x14ac:dyDescent="0.25">
      <c r="A61" s="2"/>
      <c r="B61" s="5" t="s">
        <v>59</v>
      </c>
      <c r="C61" s="5" t="s">
        <v>123</v>
      </c>
      <c r="D61" s="5" t="s">
        <v>69</v>
      </c>
      <c r="E61" s="5" t="s">
        <v>124</v>
      </c>
      <c r="F61" s="5" t="s">
        <v>141</v>
      </c>
      <c r="G61" s="5" t="s">
        <v>140</v>
      </c>
      <c r="H61" s="5" t="s">
        <v>68</v>
      </c>
      <c r="I61" s="5" t="s">
        <v>19</v>
      </c>
    </row>
    <row r="62" spans="1:27" x14ac:dyDescent="0.25">
      <c r="A62" s="2"/>
      <c r="B62" s="5" t="s">
        <v>70</v>
      </c>
      <c r="C62" s="5" t="s">
        <v>67</v>
      </c>
      <c r="E62" s="5" t="s">
        <v>68</v>
      </c>
      <c r="F62" s="5" t="s">
        <v>19</v>
      </c>
    </row>
    <row r="67" spans="2:9" x14ac:dyDescent="0.25">
      <c r="E67" s="5">
        <f>IF(OR((ОЛ!C15="Воздух"),(ОЛ!C16="Воздух")),1,0)</f>
        <v>1</v>
      </c>
    </row>
    <row r="68" spans="2:9" x14ac:dyDescent="0.25">
      <c r="B68" s="17"/>
      <c r="C68" s="22" t="s">
        <v>94</v>
      </c>
      <c r="E68" s="22" t="s">
        <v>95</v>
      </c>
      <c r="G68" s="85" t="s">
        <v>96</v>
      </c>
    </row>
    <row r="69" spans="2:9" x14ac:dyDescent="0.25">
      <c r="B69" s="24" t="s">
        <v>93</v>
      </c>
      <c r="C69" s="25">
        <f>IF((ОЛ!C8="Тупиковая")*AND(ОЛ!C19="Нет"), 3800,0)</f>
        <v>3800</v>
      </c>
      <c r="D69" s="86" t="s">
        <v>203</v>
      </c>
      <c r="E69" s="25">
        <f>IF((ОЛ!C19="Да")*AND(ОЛ!C10&gt;100), 1800,0)</f>
        <v>0</v>
      </c>
      <c r="F69" s="86" t="s">
        <v>200</v>
      </c>
      <c r="G69" s="26">
        <f>IF(OR((ОЛ!C15="Воздух"),(ОЛ!C16="Воздух"))*AND((ОЛ!C9=1),(ОЛ!C19="Нет"),(ОЛ!C8="Тупиковая")),4700,0)</f>
        <v>4700</v>
      </c>
      <c r="H69" s="86" t="s">
        <v>206</v>
      </c>
    </row>
    <row r="70" spans="2:9" x14ac:dyDescent="0.25">
      <c r="B70" s="24"/>
      <c r="C70" s="25">
        <f>IF((ОЛ!C8="Проходная")*AND(ОЛ!C19="Нет"), 4610,0)</f>
        <v>0</v>
      </c>
      <c r="D70" s="86" t="s">
        <v>202</v>
      </c>
      <c r="E70" s="25">
        <f>IF((ОЛ!C19="Да")*AND(ОЛ!C10&lt;=100), 1500,0)</f>
        <v>0</v>
      </c>
      <c r="F70" s="86" t="s">
        <v>201</v>
      </c>
      <c r="G70" s="26">
        <f>IF(OR((ОЛ!C15="Кабель"),(ОЛ!C16="Кабель"))*AND((ОЛ!C9=1),(ОЛ!C19="Нет"),(ОЛ!C8="Тупиковая")),2500,0)</f>
        <v>0</v>
      </c>
      <c r="H70" s="86" t="s">
        <v>205</v>
      </c>
    </row>
    <row r="71" spans="2:9" x14ac:dyDescent="0.25">
      <c r="B71" s="24"/>
      <c r="C71" s="25">
        <f>IF((ОЛ!C19="Да")*AND(ОЛ!C10&gt;100), 2100,1500)</f>
        <v>1500</v>
      </c>
      <c r="D71" s="86" t="s">
        <v>204</v>
      </c>
      <c r="E71" s="25">
        <f>IF((ОЛ!C9=2)*AND(ОЛ!C10&gt;630), 4550,0)</f>
        <v>0</v>
      </c>
      <c r="F71" s="86" t="s">
        <v>240</v>
      </c>
      <c r="G71" s="26">
        <f>IF(OR((ОЛ!C15="Воздух"),(ОЛ!C16="Воздух"))*AND((ОЛ!C9=1),(ОЛ!C19="Нет"),(ОЛ!C8="Проходная")),4883,0)</f>
        <v>0</v>
      </c>
      <c r="H71" s="86" t="s">
        <v>207</v>
      </c>
    </row>
    <row r="72" spans="2:9" x14ac:dyDescent="0.25">
      <c r="B72" s="24"/>
      <c r="C72" s="25"/>
      <c r="E72" s="25">
        <f>IF((ОЛ!C9=2)*AND(ОЛ!C10&lt;=630), 4150,0)</f>
        <v>0</v>
      </c>
      <c r="F72" s="86" t="s">
        <v>241</v>
      </c>
      <c r="G72" s="26">
        <f>IF(OR((ОЛ!C15="Кабель"),(ОЛ!C16="Кабель"))*AND((ОЛ!C9=1),(ОЛ!C19="Нет"),(ОЛ!C8="Проходная")),2510,0)</f>
        <v>0</v>
      </c>
      <c r="H72" s="86" t="s">
        <v>208</v>
      </c>
    </row>
    <row r="73" spans="2:9" x14ac:dyDescent="0.25">
      <c r="B73" s="24"/>
      <c r="C73" s="25"/>
      <c r="E73" s="25">
        <f>IF((ОЛ!C9=1)*AND(ОЛ!C8="Проходная"), 2980,0)</f>
        <v>0</v>
      </c>
      <c r="F73" s="86" t="s">
        <v>202</v>
      </c>
      <c r="G73" s="26">
        <f>IF(OR((ОЛ!C15="Кабель"),(ОЛ!C16="Кабель"))*AND(ОЛ!C9=2), 2670,0)</f>
        <v>0</v>
      </c>
      <c r="H73" s="86" t="s">
        <v>209</v>
      </c>
    </row>
    <row r="74" spans="2:9" x14ac:dyDescent="0.25">
      <c r="B74" s="24"/>
      <c r="C74" s="25"/>
      <c r="E74" s="25">
        <f>IF((ОЛ!C9=1)*AND(ОЛ!C8="Тупиковая")*AND(ОЛ!C10&lt;=630)*AND(ОЛ!C19="Нет"), 2420,0)</f>
        <v>2420</v>
      </c>
      <c r="F74" s="86" t="s">
        <v>242</v>
      </c>
      <c r="G74" s="26">
        <f>IF(OR((ОЛ!C15="Воздух"),(ОЛ!C16="Воздух"))*AND(ОЛ!C9=2), 4995,0)</f>
        <v>0</v>
      </c>
      <c r="H74" s="86" t="s">
        <v>210</v>
      </c>
    </row>
    <row r="75" spans="2:9" x14ac:dyDescent="0.25">
      <c r="B75" s="24"/>
      <c r="C75" s="25"/>
      <c r="E75" s="25">
        <f>IF((ОЛ!C9=1)*AND(ОЛ!C8="Тупиковая")*AND(ОЛ!C10&gt;630)*AND(ОЛ!C19="Нет"), 2340,0)</f>
        <v>0</v>
      </c>
      <c r="F75" s="86" t="s">
        <v>243</v>
      </c>
      <c r="G75" s="26">
        <f>IF(OR((ОЛ!C15="Воздух"),(ОЛ!C16="Воздух"))*AND(ОЛ!C19="Да"), 4500,0)</f>
        <v>0</v>
      </c>
      <c r="H75" s="86" t="s">
        <v>212</v>
      </c>
    </row>
    <row r="76" spans="2:9" x14ac:dyDescent="0.25">
      <c r="B76" s="24"/>
      <c r="C76" s="25"/>
      <c r="E76" s="25"/>
      <c r="G76" s="26">
        <f>IF(OR((ОЛ!C15="Кабель"),(ОЛ!C16="Кабель"))*AND(ОЛ!C19="Да"), 2060,0)</f>
        <v>0</v>
      </c>
      <c r="H76" s="86" t="s">
        <v>211</v>
      </c>
    </row>
    <row r="77" spans="2:9" x14ac:dyDescent="0.25">
      <c r="B77" s="18"/>
      <c r="C77" s="16">
        <f>MAX(C69:C76)</f>
        <v>3800</v>
      </c>
      <c r="E77" s="16">
        <f>SUM(E69:E76)</f>
        <v>2420</v>
      </c>
      <c r="G77" s="27">
        <f>MAX(G69:G76)</f>
        <v>4700</v>
      </c>
    </row>
    <row r="79" spans="2:9" x14ac:dyDescent="0.25">
      <c r="E79" s="5">
        <f>IF(OR((ОЛ!C15="Воздух"),(ОЛ!C16="Воздух")),1,0)</f>
        <v>1</v>
      </c>
    </row>
    <row r="80" spans="2:9" x14ac:dyDescent="0.25">
      <c r="B80" s="17"/>
      <c r="C80" s="22" t="s">
        <v>94</v>
      </c>
      <c r="E80" s="22" t="s">
        <v>95</v>
      </c>
      <c r="G80" s="87"/>
      <c r="H80" s="25"/>
      <c r="I80" s="25"/>
    </row>
    <row r="81" spans="2:9" x14ac:dyDescent="0.25">
      <c r="B81" s="24" t="s">
        <v>213</v>
      </c>
      <c r="C81" s="25">
        <f>IF((ОЛ!C8="Тупиковая")*AND(ОЛ!C19="Нет"), 3600,0)</f>
        <v>3600</v>
      </c>
      <c r="D81" s="86" t="s">
        <v>203</v>
      </c>
      <c r="E81" s="25">
        <f>IF((ОЛ!C19="Да")*AND(ОЛ!C10&gt;100), 1730,0)</f>
        <v>0</v>
      </c>
      <c r="F81" s="86" t="s">
        <v>200</v>
      </c>
      <c r="G81" s="25"/>
      <c r="H81" s="88"/>
      <c r="I81" s="25"/>
    </row>
    <row r="82" spans="2:9" x14ac:dyDescent="0.25">
      <c r="B82" s="24"/>
      <c r="C82" s="25">
        <f>IF((ОЛ!C8="Проходная")*AND(ОЛ!C19="Нет"), 4610,0)</f>
        <v>0</v>
      </c>
      <c r="D82" s="86" t="s">
        <v>202</v>
      </c>
      <c r="E82" s="25">
        <f>IF((ОЛ!C19="Да")*AND(ОЛ!C10&lt;=100), 1380,0)</f>
        <v>0</v>
      </c>
      <c r="F82" s="86" t="s">
        <v>201</v>
      </c>
      <c r="G82" s="25"/>
      <c r="H82" s="88"/>
      <c r="I82" s="25"/>
    </row>
    <row r="83" spans="2:9" x14ac:dyDescent="0.25">
      <c r="B83" s="24"/>
      <c r="C83" s="25">
        <f>IF((ОЛ!C19="Да")*AND(ОЛ!C10&gt;100), 2030,1380)</f>
        <v>1380</v>
      </c>
      <c r="D83" s="86" t="s">
        <v>204</v>
      </c>
      <c r="E83" s="25">
        <f>IF((ОЛ!C9=2)*AND(ОЛ!C10&gt;630), 4400,0)</f>
        <v>0</v>
      </c>
      <c r="F83" s="86" t="s">
        <v>240</v>
      </c>
      <c r="G83" s="25"/>
      <c r="H83" s="88"/>
      <c r="I83" s="25"/>
    </row>
    <row r="84" spans="2:9" x14ac:dyDescent="0.25">
      <c r="B84" s="24"/>
      <c r="C84" s="25"/>
      <c r="E84" s="25">
        <f>IF((ОЛ!C9=2)*AND(ОЛ!C10&lt;=630), 4000,0)</f>
        <v>0</v>
      </c>
      <c r="F84" s="86" t="s">
        <v>241</v>
      </c>
      <c r="G84" s="25"/>
      <c r="H84" s="88"/>
      <c r="I84" s="25"/>
    </row>
    <row r="85" spans="2:9" x14ac:dyDescent="0.25">
      <c r="B85" s="24"/>
      <c r="C85" s="25"/>
      <c r="E85" s="25">
        <f>IF((ОЛ!C9=1)*AND(ОЛ!C8="Проходная"), 2840,0)</f>
        <v>0</v>
      </c>
      <c r="F85" s="86" t="s">
        <v>202</v>
      </c>
      <c r="G85" s="25"/>
      <c r="H85" s="88"/>
      <c r="I85" s="25"/>
    </row>
    <row r="86" spans="2:9" x14ac:dyDescent="0.25">
      <c r="B86" s="24"/>
      <c r="C86" s="25"/>
      <c r="E86" s="25">
        <f>IF((ОЛ!C9=1)*AND(ОЛ!C8="Тупиковая")*AND(ОЛ!C10&lt;=630)*AND(ОЛ!C19="Нет"), 2200,0)</f>
        <v>2200</v>
      </c>
      <c r="F86" s="86" t="s">
        <v>242</v>
      </c>
      <c r="G86" s="25"/>
      <c r="H86" s="88"/>
      <c r="I86" s="25"/>
    </row>
    <row r="87" spans="2:9" x14ac:dyDescent="0.25">
      <c r="B87" s="24"/>
      <c r="C87" s="25"/>
      <c r="E87" s="25">
        <f>IF((ОЛ!C9=1)*AND(ОЛ!C8="Тупиковая")*AND(ОЛ!C10&gt;630)*AND(ОЛ!C19="Нет"), 2200,0)</f>
        <v>0</v>
      </c>
      <c r="F87" s="86" t="s">
        <v>243</v>
      </c>
      <c r="G87" s="25"/>
      <c r="H87" s="88"/>
      <c r="I87" s="25"/>
    </row>
    <row r="88" spans="2:9" x14ac:dyDescent="0.25">
      <c r="B88" s="24"/>
      <c r="C88" s="25"/>
      <c r="E88" s="25"/>
      <c r="G88" s="25"/>
      <c r="H88" s="88"/>
      <c r="I88" s="25"/>
    </row>
    <row r="89" spans="2:9" x14ac:dyDescent="0.25">
      <c r="B89" s="18"/>
      <c r="C89" s="16">
        <f>MAX(C81:C88)</f>
        <v>3600</v>
      </c>
      <c r="E89" s="16">
        <f>SUM(E81:E88)</f>
        <v>2200</v>
      </c>
      <c r="G89" s="25"/>
      <c r="H89" s="25"/>
      <c r="I89" s="25"/>
    </row>
    <row r="96" spans="2:9" x14ac:dyDescent="0.25">
      <c r="B96" s="17" t="s">
        <v>131</v>
      </c>
      <c r="C96" s="22"/>
      <c r="D96" s="23"/>
    </row>
    <row r="97" spans="2:6" x14ac:dyDescent="0.25">
      <c r="B97" s="24"/>
      <c r="C97" s="60" t="str">
        <f>IF((ОЛ!C19="Да")*AND(ОЛ!C10&lt;400)*AND(ОЛ!C10&gt;100),9,"")</f>
        <v/>
      </c>
      <c r="D97" s="26"/>
    </row>
    <row r="98" spans="2:6" x14ac:dyDescent="0.25">
      <c r="B98" s="24"/>
      <c r="C98" s="60" t="str">
        <f>IF((ОЛ!C19="Да")*AND(ОЛ!C10&lt;160),7,"")</f>
        <v/>
      </c>
      <c r="D98" s="26"/>
    </row>
    <row r="99" spans="2:6" x14ac:dyDescent="0.25">
      <c r="B99" s="24"/>
      <c r="C99" s="60">
        <f>IF((ОЛ!C19="Нет"),12,"")</f>
        <v>12</v>
      </c>
      <c r="D99" s="26"/>
    </row>
    <row r="100" spans="2:6" x14ac:dyDescent="0.25">
      <c r="B100" s="24"/>
      <c r="C100" s="25"/>
      <c r="D100" s="26"/>
    </row>
    <row r="101" spans="2:6" x14ac:dyDescent="0.25">
      <c r="B101" s="24"/>
      <c r="C101" s="25"/>
      <c r="D101" s="26"/>
    </row>
    <row r="102" spans="2:6" x14ac:dyDescent="0.25">
      <c r="B102" s="24"/>
      <c r="C102" s="25"/>
      <c r="D102" s="26"/>
    </row>
    <row r="103" spans="2:6" x14ac:dyDescent="0.25">
      <c r="B103" s="18"/>
      <c r="C103" s="16">
        <f>MAX(C97:C102)</f>
        <v>12</v>
      </c>
      <c r="D103" s="27"/>
    </row>
    <row r="104" spans="2:6" x14ac:dyDescent="0.25">
      <c r="F104" s="5" t="s">
        <v>147</v>
      </c>
    </row>
  </sheetData>
  <sortState ref="A46:U46">
    <sortCondition ref="A46"/>
  </sortState>
  <pageMargins left="0.27559055118110237" right="0.44" top="0.49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C77"/>
  <sheetViews>
    <sheetView zoomScale="40" zoomScaleNormal="40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M47" sqref="M47"/>
    </sheetView>
  </sheetViews>
  <sheetFormatPr defaultRowHeight="14.4" x14ac:dyDescent="0.3"/>
  <cols>
    <col min="1" max="1" width="27.88671875" style="72" customWidth="1"/>
    <col min="2" max="2" width="10.6640625" customWidth="1"/>
    <col min="5" max="5" width="11.5546875" customWidth="1"/>
    <col min="6" max="6" width="11" customWidth="1"/>
    <col min="11" max="11" width="9.88671875" bestFit="1" customWidth="1"/>
    <col min="13" max="13" width="9.88671875" bestFit="1" customWidth="1"/>
    <col min="25" max="25" width="10.44140625" bestFit="1" customWidth="1"/>
    <col min="26" max="26" width="10.33203125" bestFit="1" customWidth="1"/>
    <col min="27" max="27" width="13.33203125" bestFit="1" customWidth="1"/>
    <col min="28" max="28" width="14.33203125" bestFit="1" customWidth="1"/>
  </cols>
  <sheetData>
    <row r="1" spans="1:29" x14ac:dyDescent="0.3">
      <c r="A1" s="68" t="s">
        <v>149</v>
      </c>
      <c r="B1" s="69" t="s">
        <v>150</v>
      </c>
      <c r="C1" s="69" t="s">
        <v>151</v>
      </c>
      <c r="D1" s="69" t="s">
        <v>152</v>
      </c>
      <c r="E1" s="69" t="s">
        <v>153</v>
      </c>
      <c r="F1" s="69" t="s">
        <v>154</v>
      </c>
      <c r="G1" s="69" t="s">
        <v>155</v>
      </c>
      <c r="H1" s="69" t="s">
        <v>156</v>
      </c>
      <c r="I1" s="69" t="s">
        <v>157</v>
      </c>
      <c r="J1" s="69" t="s">
        <v>158</v>
      </c>
      <c r="K1" s="69" t="s">
        <v>159</v>
      </c>
      <c r="L1" s="69" t="s">
        <v>160</v>
      </c>
      <c r="M1" s="69" t="s">
        <v>161</v>
      </c>
      <c r="N1" s="69" t="s">
        <v>162</v>
      </c>
      <c r="O1" s="69" t="s">
        <v>163</v>
      </c>
      <c r="P1" s="69" t="s">
        <v>164</v>
      </c>
      <c r="Q1" s="69" t="s">
        <v>165</v>
      </c>
      <c r="R1" s="69" t="s">
        <v>166</v>
      </c>
      <c r="S1" s="69" t="s">
        <v>167</v>
      </c>
      <c r="T1" s="69" t="s">
        <v>197</v>
      </c>
      <c r="U1" s="69" t="s">
        <v>168</v>
      </c>
      <c r="V1" s="69" t="s">
        <v>169</v>
      </c>
      <c r="W1" s="69" t="s">
        <v>170</v>
      </c>
      <c r="X1" s="69" t="s">
        <v>171</v>
      </c>
      <c r="Y1" s="69" t="s">
        <v>216</v>
      </c>
      <c r="Z1" s="106" t="s">
        <v>244</v>
      </c>
      <c r="AA1" s="106" t="s">
        <v>245</v>
      </c>
      <c r="AB1" s="106" t="s">
        <v>246</v>
      </c>
      <c r="AC1" s="69" t="s">
        <v>19</v>
      </c>
    </row>
    <row r="2" spans="1:29" ht="18" x14ac:dyDescent="0.35">
      <c r="A2" s="68">
        <v>2</v>
      </c>
      <c r="B2" s="70"/>
      <c r="C2" s="11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  <c r="V2" s="71"/>
      <c r="W2" s="70"/>
      <c r="X2" s="70"/>
      <c r="Y2" s="70"/>
      <c r="Z2" s="104"/>
      <c r="AA2" s="111"/>
      <c r="AB2" s="70"/>
      <c r="AC2" s="70"/>
    </row>
    <row r="3" spans="1:29" ht="18" x14ac:dyDescent="0.35">
      <c r="A3" s="68">
        <v>3</v>
      </c>
      <c r="B3" s="70"/>
      <c r="C3" s="11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V3" s="71"/>
      <c r="W3" s="70"/>
      <c r="X3" s="70"/>
      <c r="Y3" s="70"/>
      <c r="Z3" s="104"/>
      <c r="AA3" s="111"/>
      <c r="AB3" s="70"/>
      <c r="AC3" s="70"/>
    </row>
    <row r="4" spans="1:29" ht="18" x14ac:dyDescent="0.35">
      <c r="A4" s="68">
        <v>5</v>
      </c>
      <c r="B4" s="70"/>
      <c r="C4" s="11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1"/>
      <c r="V4" s="71"/>
      <c r="W4" s="70"/>
      <c r="X4" s="70"/>
      <c r="Y4" s="70"/>
      <c r="Z4" s="104"/>
      <c r="AA4" s="111"/>
      <c r="AB4" s="70"/>
      <c r="AC4" s="70"/>
    </row>
    <row r="5" spans="1:29" ht="18" x14ac:dyDescent="0.35">
      <c r="A5" s="68">
        <v>6</v>
      </c>
      <c r="B5" s="70"/>
      <c r="C5" s="11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1"/>
      <c r="V5" s="71"/>
      <c r="W5" s="70"/>
      <c r="X5" s="70"/>
      <c r="Y5" s="70"/>
      <c r="Z5" s="104"/>
      <c r="AA5" s="111"/>
      <c r="AB5" s="70"/>
      <c r="AC5" s="70"/>
    </row>
    <row r="6" spans="1:29" ht="18" x14ac:dyDescent="0.35">
      <c r="A6" s="68">
        <v>10</v>
      </c>
      <c r="B6" s="70"/>
      <c r="C6" s="11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  <c r="P6" s="70"/>
      <c r="Q6" s="70"/>
      <c r="R6" s="70"/>
      <c r="S6" s="70"/>
      <c r="T6" s="70"/>
      <c r="U6" s="71"/>
      <c r="V6" s="71"/>
      <c r="W6" s="70"/>
      <c r="X6" s="70"/>
      <c r="Y6" s="70"/>
      <c r="Z6" s="104"/>
      <c r="AA6" s="111"/>
      <c r="AB6" s="70"/>
      <c r="AC6" s="70"/>
    </row>
    <row r="7" spans="1:29" ht="18" x14ac:dyDescent="0.35">
      <c r="A7" s="68">
        <v>16</v>
      </c>
      <c r="B7" s="110"/>
      <c r="C7" s="110"/>
      <c r="D7" s="111"/>
      <c r="E7" s="70"/>
      <c r="F7" s="70"/>
      <c r="G7" s="70"/>
      <c r="H7" s="70"/>
      <c r="I7" s="70"/>
      <c r="J7" s="111"/>
      <c r="K7" s="111"/>
      <c r="L7" s="111"/>
      <c r="M7" s="111"/>
      <c r="N7" s="70"/>
      <c r="O7" s="71"/>
      <c r="P7" s="71"/>
      <c r="Q7" s="70"/>
      <c r="R7" s="70"/>
      <c r="S7" s="70"/>
      <c r="T7" s="70"/>
      <c r="U7" s="71"/>
      <c r="V7" s="71"/>
      <c r="W7" s="70"/>
      <c r="X7" s="70"/>
      <c r="Y7" s="70"/>
      <c r="Z7" s="111"/>
      <c r="AA7" s="111"/>
      <c r="AB7" s="70"/>
      <c r="AC7" s="70"/>
    </row>
    <row r="8" spans="1:29" ht="18" x14ac:dyDescent="0.35">
      <c r="A8" s="68">
        <v>20</v>
      </c>
      <c r="B8" s="110"/>
      <c r="C8" s="110"/>
      <c r="D8" s="111"/>
      <c r="E8" s="70"/>
      <c r="F8" s="70"/>
      <c r="G8" s="70"/>
      <c r="H8" s="70"/>
      <c r="I8" s="70"/>
      <c r="J8" s="111"/>
      <c r="K8" s="111"/>
      <c r="L8" s="111"/>
      <c r="M8" s="111"/>
      <c r="N8" s="70"/>
      <c r="O8" s="71"/>
      <c r="P8" s="71"/>
      <c r="Q8" s="70"/>
      <c r="R8" s="70"/>
      <c r="S8" s="70"/>
      <c r="T8" s="70"/>
      <c r="U8" s="71"/>
      <c r="V8" s="71"/>
      <c r="W8" s="70"/>
      <c r="X8" s="70"/>
      <c r="Y8" s="70"/>
      <c r="Z8" s="111"/>
      <c r="AA8" s="111"/>
      <c r="AB8" s="70"/>
      <c r="AC8" s="70"/>
    </row>
    <row r="9" spans="1:29" ht="18" x14ac:dyDescent="0.35">
      <c r="A9" s="68">
        <v>25</v>
      </c>
      <c r="B9" s="110"/>
      <c r="C9" s="110"/>
      <c r="D9" s="111"/>
      <c r="E9" s="70"/>
      <c r="F9" s="70"/>
      <c r="G9" s="70"/>
      <c r="H9" s="70"/>
      <c r="I9" s="70"/>
      <c r="J9" s="111"/>
      <c r="K9" s="111"/>
      <c r="L9" s="111"/>
      <c r="M9" s="111"/>
      <c r="N9" s="70"/>
      <c r="O9" s="71"/>
      <c r="P9" s="71"/>
      <c r="Q9" s="70"/>
      <c r="R9" s="70"/>
      <c r="S9" s="70"/>
      <c r="T9" s="70"/>
      <c r="U9" s="71"/>
      <c r="V9" s="71"/>
      <c r="W9" s="70"/>
      <c r="X9" s="70"/>
      <c r="Y9" s="70"/>
      <c r="Z9" s="111"/>
      <c r="AA9" s="111"/>
      <c r="AB9" s="70"/>
      <c r="AC9" s="70"/>
    </row>
    <row r="10" spans="1:29" ht="18" x14ac:dyDescent="0.35">
      <c r="A10" s="68">
        <v>31.5</v>
      </c>
      <c r="B10" s="110"/>
      <c r="C10" s="110"/>
      <c r="D10" s="111"/>
      <c r="E10" s="70"/>
      <c r="F10" s="70"/>
      <c r="G10" s="70"/>
      <c r="H10" s="70"/>
      <c r="I10" s="70"/>
      <c r="J10" s="111"/>
      <c r="K10" s="111"/>
      <c r="L10" s="111"/>
      <c r="M10" s="111"/>
      <c r="N10" s="70"/>
      <c r="O10" s="71"/>
      <c r="P10" s="71"/>
      <c r="Q10" s="70"/>
      <c r="R10" s="70"/>
      <c r="S10" s="70"/>
      <c r="T10" s="70"/>
      <c r="U10" s="71"/>
      <c r="V10" s="71"/>
      <c r="W10" s="70"/>
      <c r="X10" s="70"/>
      <c r="Y10" s="70"/>
      <c r="Z10" s="111"/>
      <c r="AA10" s="111"/>
      <c r="AB10" s="70"/>
      <c r="AC10" s="70"/>
    </row>
    <row r="11" spans="1:29" ht="18" x14ac:dyDescent="0.35">
      <c r="A11" s="68">
        <v>32</v>
      </c>
      <c r="B11" s="110"/>
      <c r="C11" s="110"/>
      <c r="D11" s="111"/>
      <c r="E11" s="70"/>
      <c r="F11" s="70"/>
      <c r="G11" s="70"/>
      <c r="H11" s="70"/>
      <c r="I11" s="70"/>
      <c r="J11" s="111"/>
      <c r="K11" s="111"/>
      <c r="L11" s="111"/>
      <c r="M11" s="111"/>
      <c r="N11" s="70"/>
      <c r="O11" s="71"/>
      <c r="P11" s="71"/>
      <c r="Q11" s="70"/>
      <c r="R11" s="70"/>
      <c r="S11" s="70"/>
      <c r="T11" s="70"/>
      <c r="U11" s="71"/>
      <c r="V11" s="71"/>
      <c r="W11" s="70"/>
      <c r="X11" s="70"/>
      <c r="Y11" s="70"/>
      <c r="Z11" s="111"/>
      <c r="AA11" s="111"/>
      <c r="AB11" s="70"/>
      <c r="AC11" s="70"/>
    </row>
    <row r="12" spans="1:29" ht="18" x14ac:dyDescent="0.35">
      <c r="A12" s="68">
        <v>40</v>
      </c>
      <c r="B12" s="110"/>
      <c r="C12" s="110"/>
      <c r="D12" s="111"/>
      <c r="E12" s="70"/>
      <c r="F12" s="70"/>
      <c r="G12" s="70"/>
      <c r="H12" s="70"/>
      <c r="I12" s="70"/>
      <c r="J12" s="111"/>
      <c r="K12" s="111"/>
      <c r="L12" s="111"/>
      <c r="M12" s="111"/>
      <c r="N12" s="70"/>
      <c r="O12" s="71"/>
      <c r="P12" s="71"/>
      <c r="Q12" s="70"/>
      <c r="R12" s="70"/>
      <c r="S12" s="70"/>
      <c r="T12" s="70"/>
      <c r="U12" s="71"/>
      <c r="V12" s="71"/>
      <c r="W12" s="71"/>
      <c r="X12" s="70"/>
      <c r="Y12" s="70"/>
      <c r="Z12" s="111"/>
      <c r="AA12" s="111"/>
      <c r="AB12" s="70"/>
      <c r="AC12" s="70"/>
    </row>
    <row r="13" spans="1:29" ht="18" x14ac:dyDescent="0.35">
      <c r="A13" s="68">
        <v>50</v>
      </c>
      <c r="B13" s="110"/>
      <c r="C13" s="110"/>
      <c r="D13" s="111"/>
      <c r="E13" s="70"/>
      <c r="F13" s="70"/>
      <c r="G13" s="70"/>
      <c r="H13" s="70"/>
      <c r="I13" s="70"/>
      <c r="J13" s="111"/>
      <c r="K13" s="111"/>
      <c r="L13" s="111"/>
      <c r="M13" s="111"/>
      <c r="N13" s="70"/>
      <c r="O13" s="71"/>
      <c r="P13" s="71"/>
      <c r="Q13" s="70"/>
      <c r="R13" s="70"/>
      <c r="S13" s="70"/>
      <c r="T13" s="70"/>
      <c r="U13" s="71"/>
      <c r="V13" s="71"/>
      <c r="W13" s="71"/>
      <c r="X13" s="70"/>
      <c r="Y13" s="70"/>
      <c r="Z13" s="111"/>
      <c r="AA13" s="111"/>
      <c r="AB13" s="70"/>
      <c r="AC13" s="70"/>
    </row>
    <row r="14" spans="1:29" ht="18" x14ac:dyDescent="0.35">
      <c r="A14" s="68">
        <v>63</v>
      </c>
      <c r="B14" s="110"/>
      <c r="C14" s="110"/>
      <c r="D14" s="111"/>
      <c r="E14" s="70"/>
      <c r="F14" s="70"/>
      <c r="G14" s="70"/>
      <c r="H14" s="70"/>
      <c r="I14" s="70"/>
      <c r="J14" s="111"/>
      <c r="K14" s="111"/>
      <c r="L14" s="111"/>
      <c r="M14" s="111"/>
      <c r="N14" s="70"/>
      <c r="O14" s="71"/>
      <c r="P14" s="71"/>
      <c r="Q14" s="70"/>
      <c r="R14" s="70"/>
      <c r="S14" s="70"/>
      <c r="T14" s="70"/>
      <c r="U14" s="71"/>
      <c r="V14" s="71"/>
      <c r="W14" s="71"/>
      <c r="X14" s="70"/>
      <c r="Y14" s="70"/>
      <c r="Z14" s="111"/>
      <c r="AA14" s="111"/>
      <c r="AB14" s="70"/>
      <c r="AC14" s="70"/>
    </row>
    <row r="15" spans="1:29" ht="18" x14ac:dyDescent="0.35">
      <c r="A15" s="68">
        <v>80</v>
      </c>
      <c r="B15" s="110"/>
      <c r="C15" s="70"/>
      <c r="D15" s="111"/>
      <c r="E15" s="70"/>
      <c r="F15" s="70"/>
      <c r="G15" s="70"/>
      <c r="H15" s="70"/>
      <c r="I15" s="70"/>
      <c r="J15" s="111"/>
      <c r="K15" s="111"/>
      <c r="L15" s="111"/>
      <c r="M15" s="111"/>
      <c r="N15" s="70"/>
      <c r="O15" s="71"/>
      <c r="P15" s="71"/>
      <c r="Q15" s="70"/>
      <c r="R15" s="70"/>
      <c r="S15" s="70"/>
      <c r="T15" s="70"/>
      <c r="U15" s="71"/>
      <c r="V15" s="71"/>
      <c r="W15" s="71"/>
      <c r="X15" s="70"/>
      <c r="Y15" s="70"/>
      <c r="Z15" s="111"/>
      <c r="AA15" s="104"/>
      <c r="AB15" s="111"/>
      <c r="AC15" s="70"/>
    </row>
    <row r="16" spans="1:29" ht="18" x14ac:dyDescent="0.35">
      <c r="A16" s="68">
        <v>100</v>
      </c>
      <c r="B16" s="110"/>
      <c r="C16" s="70"/>
      <c r="D16" s="111"/>
      <c r="E16" s="70"/>
      <c r="F16" s="70"/>
      <c r="G16" s="70"/>
      <c r="H16" s="70"/>
      <c r="I16" s="70"/>
      <c r="J16" s="111"/>
      <c r="K16" s="111"/>
      <c r="L16" s="111"/>
      <c r="M16" s="111"/>
      <c r="N16" s="70"/>
      <c r="O16" s="71"/>
      <c r="P16" s="71"/>
      <c r="Q16" s="70"/>
      <c r="R16" s="70"/>
      <c r="S16" s="70"/>
      <c r="T16" s="70"/>
      <c r="U16" s="71"/>
      <c r="V16" s="71"/>
      <c r="W16" s="71"/>
      <c r="X16" s="71"/>
      <c r="Y16" s="111"/>
      <c r="Z16" s="111"/>
      <c r="AA16" s="104"/>
      <c r="AB16" s="111"/>
      <c r="AC16" s="70"/>
    </row>
    <row r="17" spans="1:29" ht="18" x14ac:dyDescent="0.35">
      <c r="A17" s="68">
        <v>125</v>
      </c>
      <c r="B17" s="110"/>
      <c r="C17" s="70"/>
      <c r="D17" s="111"/>
      <c r="E17" s="70"/>
      <c r="F17" s="70"/>
      <c r="G17" s="70"/>
      <c r="H17" s="70"/>
      <c r="I17" s="70"/>
      <c r="J17" s="70"/>
      <c r="K17" s="70"/>
      <c r="L17" s="111"/>
      <c r="M17" s="111"/>
      <c r="N17" s="70"/>
      <c r="O17" s="71"/>
      <c r="P17" s="71"/>
      <c r="Q17" s="71"/>
      <c r="R17" s="70"/>
      <c r="S17" s="70"/>
      <c r="T17" s="70"/>
      <c r="U17" s="71"/>
      <c r="V17" s="71"/>
      <c r="W17" s="71"/>
      <c r="X17" s="71"/>
      <c r="Y17" s="111"/>
      <c r="Z17" s="111"/>
      <c r="AA17" s="104"/>
      <c r="AB17" s="111"/>
      <c r="AC17" s="70"/>
    </row>
    <row r="18" spans="1:29" ht="18" x14ac:dyDescent="0.35">
      <c r="A18" s="68">
        <v>160</v>
      </c>
      <c r="B18" s="110"/>
      <c r="C18" s="70"/>
      <c r="D18" s="111"/>
      <c r="E18" s="70"/>
      <c r="F18" s="70"/>
      <c r="G18" s="70"/>
      <c r="H18" s="70"/>
      <c r="I18" s="70"/>
      <c r="J18" s="70"/>
      <c r="K18" s="70"/>
      <c r="L18" s="111"/>
      <c r="M18" s="111"/>
      <c r="N18" s="70"/>
      <c r="O18" s="70"/>
      <c r="P18" s="71"/>
      <c r="Q18" s="71"/>
      <c r="R18" s="70"/>
      <c r="S18" s="70"/>
      <c r="T18" s="70"/>
      <c r="U18" s="71"/>
      <c r="V18" s="71"/>
      <c r="W18" s="71"/>
      <c r="X18" s="71"/>
      <c r="Y18" s="111"/>
      <c r="Z18" s="111"/>
      <c r="AA18" s="104"/>
      <c r="AB18" s="70"/>
      <c r="AC18" s="70"/>
    </row>
    <row r="19" spans="1:29" ht="18" x14ac:dyDescent="0.35">
      <c r="A19" s="68">
        <v>200</v>
      </c>
      <c r="B19" s="110"/>
      <c r="C19" s="70"/>
      <c r="D19" s="111"/>
      <c r="E19" s="70"/>
      <c r="F19" s="70"/>
      <c r="G19" s="70"/>
      <c r="H19" s="70"/>
      <c r="I19" s="70"/>
      <c r="J19" s="70"/>
      <c r="K19" s="70"/>
      <c r="L19" s="111"/>
      <c r="M19" s="111"/>
      <c r="N19" s="70"/>
      <c r="O19" s="70"/>
      <c r="P19" s="70"/>
      <c r="Q19" s="71"/>
      <c r="R19" s="70"/>
      <c r="S19" s="70"/>
      <c r="T19" s="70"/>
      <c r="U19" s="70"/>
      <c r="V19" s="71"/>
      <c r="W19" s="71"/>
      <c r="X19" s="71"/>
      <c r="Y19" s="111"/>
      <c r="Z19" s="111"/>
      <c r="AA19" s="104"/>
      <c r="AB19" s="70"/>
      <c r="AC19" s="70"/>
    </row>
    <row r="20" spans="1:29" ht="18" x14ac:dyDescent="0.35">
      <c r="A20" s="68">
        <v>250</v>
      </c>
      <c r="B20" s="110"/>
      <c r="C20" s="70"/>
      <c r="D20" s="111"/>
      <c r="E20" s="111"/>
      <c r="F20" s="111"/>
      <c r="G20" s="111"/>
      <c r="H20" s="70"/>
      <c r="I20" s="70"/>
      <c r="J20" s="70"/>
      <c r="K20" s="70"/>
      <c r="L20" s="111"/>
      <c r="M20" s="111"/>
      <c r="N20" s="111"/>
      <c r="O20" s="70"/>
      <c r="P20" s="70"/>
      <c r="Q20" s="71"/>
      <c r="R20" s="71"/>
      <c r="S20" s="70"/>
      <c r="T20" s="70"/>
      <c r="U20" s="70"/>
      <c r="V20" s="71"/>
      <c r="W20" s="71"/>
      <c r="X20" s="71"/>
      <c r="Y20" s="111"/>
      <c r="Z20" s="111"/>
      <c r="AA20" s="104"/>
      <c r="AB20" s="70"/>
      <c r="AC20" s="70"/>
    </row>
    <row r="21" spans="1:29" ht="18" x14ac:dyDescent="0.35">
      <c r="A21" s="68">
        <v>320</v>
      </c>
      <c r="B21" s="110"/>
      <c r="C21" s="70"/>
      <c r="D21" s="111"/>
      <c r="E21" s="111"/>
      <c r="F21" s="111"/>
      <c r="G21" s="111"/>
      <c r="H21" s="70"/>
      <c r="I21" s="70"/>
      <c r="J21" s="70"/>
      <c r="K21" s="70"/>
      <c r="L21" s="70"/>
      <c r="M21" s="70"/>
      <c r="N21" s="111"/>
      <c r="O21" s="70"/>
      <c r="P21" s="70"/>
      <c r="Q21" s="70"/>
      <c r="R21" s="71"/>
      <c r="S21" s="70"/>
      <c r="T21" s="70"/>
      <c r="U21" s="70"/>
      <c r="V21" s="70"/>
      <c r="W21" s="71"/>
      <c r="X21" s="71"/>
      <c r="Y21" s="111"/>
      <c r="Z21" s="70"/>
      <c r="AA21" s="104"/>
      <c r="AB21" s="70"/>
      <c r="AC21" s="70"/>
    </row>
    <row r="22" spans="1:29" ht="18" x14ac:dyDescent="0.35">
      <c r="A22" s="68">
        <v>400</v>
      </c>
      <c r="B22" s="110"/>
      <c r="C22" s="70"/>
      <c r="D22" s="111"/>
      <c r="E22" s="111"/>
      <c r="F22" s="111"/>
      <c r="G22" s="111"/>
      <c r="H22" s="70"/>
      <c r="I22" s="70"/>
      <c r="J22" s="70"/>
      <c r="K22" s="70"/>
      <c r="L22" s="70"/>
      <c r="M22" s="70"/>
      <c r="N22" s="111"/>
      <c r="O22" s="70"/>
      <c r="P22" s="70"/>
      <c r="Q22" s="70"/>
      <c r="R22" s="71"/>
      <c r="S22" s="71"/>
      <c r="T22" s="70"/>
      <c r="U22" s="70"/>
      <c r="V22" s="70"/>
      <c r="W22" s="71"/>
      <c r="X22" s="71"/>
      <c r="Y22" s="111"/>
      <c r="Z22" s="70"/>
      <c r="AA22" s="70"/>
      <c r="AB22" s="70"/>
      <c r="AC22" s="70"/>
    </row>
    <row r="23" spans="1:29" ht="18" x14ac:dyDescent="0.35">
      <c r="A23" s="68">
        <v>500</v>
      </c>
      <c r="B23" s="70"/>
      <c r="C23" s="70"/>
      <c r="D23" s="70"/>
      <c r="E23" s="111"/>
      <c r="F23" s="111"/>
      <c r="G23" s="111"/>
      <c r="H23" s="70"/>
      <c r="I23" s="70"/>
      <c r="J23" s="70"/>
      <c r="K23" s="70"/>
      <c r="L23" s="70"/>
      <c r="M23" s="70"/>
      <c r="N23" s="111"/>
      <c r="O23" s="70"/>
      <c r="P23" s="70"/>
      <c r="Q23" s="70"/>
      <c r="R23" s="70"/>
      <c r="S23" s="71"/>
      <c r="T23" s="70"/>
      <c r="U23" s="70"/>
      <c r="V23" s="70"/>
      <c r="W23" s="70"/>
      <c r="X23" s="71"/>
      <c r="Y23" s="111"/>
      <c r="Z23" s="70"/>
      <c r="AA23" s="70"/>
      <c r="AB23" s="70"/>
      <c r="AC23" s="70"/>
    </row>
    <row r="24" spans="1:29" ht="18" x14ac:dyDescent="0.35">
      <c r="A24" s="68">
        <v>630</v>
      </c>
      <c r="B24" s="70"/>
      <c r="C24" s="70"/>
      <c r="D24" s="70"/>
      <c r="E24" s="111"/>
      <c r="F24" s="111"/>
      <c r="G24" s="111"/>
      <c r="H24" s="70"/>
      <c r="I24" s="70"/>
      <c r="J24" s="70"/>
      <c r="K24" s="70"/>
      <c r="L24" s="70"/>
      <c r="M24" s="70"/>
      <c r="N24" s="111"/>
      <c r="O24" s="70"/>
      <c r="P24" s="70"/>
      <c r="Q24" s="70"/>
      <c r="R24" s="70"/>
      <c r="S24" s="71"/>
      <c r="T24" s="70"/>
      <c r="U24" s="70"/>
      <c r="V24" s="70"/>
      <c r="W24" s="70"/>
      <c r="X24" s="71"/>
      <c r="Y24" s="111"/>
      <c r="Z24" s="70"/>
      <c r="AA24" s="70"/>
      <c r="AB24" s="70"/>
      <c r="AC24" s="70"/>
    </row>
    <row r="25" spans="1:29" ht="18" x14ac:dyDescent="0.35">
      <c r="A25" s="68">
        <v>750</v>
      </c>
      <c r="B25" s="70"/>
      <c r="C25" s="70"/>
      <c r="D25" s="70"/>
      <c r="E25" s="70"/>
      <c r="F25" s="111"/>
      <c r="G25" s="111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1"/>
      <c r="T25" s="70"/>
      <c r="U25" s="70"/>
      <c r="V25" s="70"/>
      <c r="W25" s="70"/>
      <c r="X25" s="70"/>
      <c r="Y25" s="111"/>
      <c r="Z25" s="70"/>
      <c r="AA25" s="70"/>
      <c r="AB25" s="70"/>
      <c r="AC25" s="70"/>
    </row>
    <row r="26" spans="1:29" ht="18" x14ac:dyDescent="0.35">
      <c r="A26" s="68">
        <v>800</v>
      </c>
      <c r="B26" s="70"/>
      <c r="C26" s="70"/>
      <c r="D26" s="70"/>
      <c r="E26" s="105"/>
      <c r="F26" s="111"/>
      <c r="G26" s="111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  <c r="T26" s="70"/>
      <c r="U26" s="70"/>
      <c r="V26" s="70"/>
      <c r="W26" s="70"/>
      <c r="X26" s="70"/>
      <c r="Y26" s="111"/>
      <c r="Z26" s="70"/>
      <c r="AA26" s="70"/>
      <c r="AB26" s="70"/>
      <c r="AC26" s="70"/>
    </row>
    <row r="27" spans="1:29" ht="18" x14ac:dyDescent="0.35">
      <c r="A27" s="68">
        <v>1000</v>
      </c>
      <c r="B27" s="70"/>
      <c r="C27" s="70"/>
      <c r="D27" s="70"/>
      <c r="E27" s="70"/>
      <c r="F27" s="111"/>
      <c r="G27" s="111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1"/>
      <c r="U27" s="70"/>
      <c r="V27" s="70"/>
      <c r="W27" s="70"/>
      <c r="X27" s="70"/>
      <c r="Y27" s="111"/>
      <c r="Z27" s="70"/>
      <c r="AA27" s="70"/>
      <c r="AB27" s="70"/>
      <c r="AC27" s="70"/>
    </row>
    <row r="28" spans="1:29" ht="18" x14ac:dyDescent="0.35">
      <c r="A28" s="68">
        <v>1250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/>
      <c r="U28" s="70"/>
      <c r="V28" s="70"/>
      <c r="W28" s="70"/>
      <c r="X28" s="70"/>
      <c r="Y28" s="111"/>
      <c r="Z28" s="70"/>
      <c r="AA28" s="70"/>
      <c r="AB28" s="70"/>
      <c r="AC28" s="70"/>
    </row>
    <row r="29" spans="1:29" ht="18" x14ac:dyDescent="0.35">
      <c r="A29" s="68">
        <v>1600</v>
      </c>
      <c r="B29" s="70"/>
      <c r="C29" s="70"/>
      <c r="D29" s="70"/>
      <c r="E29" s="70"/>
      <c r="F29" s="70"/>
      <c r="G29" s="70"/>
      <c r="H29" s="111"/>
      <c r="I29" s="111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1"/>
      <c r="U29" s="70"/>
      <c r="V29" s="70"/>
      <c r="W29" s="70"/>
      <c r="X29" s="70"/>
      <c r="Y29" s="111"/>
      <c r="Z29" s="70"/>
      <c r="AA29" s="70"/>
      <c r="AB29" s="70"/>
      <c r="AC29" s="70"/>
    </row>
    <row r="30" spans="1:29" ht="18" x14ac:dyDescent="0.35">
      <c r="A30" s="68">
        <v>2000</v>
      </c>
      <c r="B30" s="70"/>
      <c r="C30" s="70"/>
      <c r="D30" s="70"/>
      <c r="E30" s="70"/>
      <c r="F30" s="70"/>
      <c r="G30" s="70"/>
      <c r="H30" s="111"/>
      <c r="I30" s="111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x14ac:dyDescent="0.3">
      <c r="A31" s="68">
        <v>2500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x14ac:dyDescent="0.3">
      <c r="A32" s="72" t="s">
        <v>172</v>
      </c>
    </row>
    <row r="33" spans="1:6" x14ac:dyDescent="0.3">
      <c r="A33" s="91" t="s">
        <v>222</v>
      </c>
      <c r="B33" s="70" t="s">
        <v>223</v>
      </c>
      <c r="E33" s="70" t="s">
        <v>222</v>
      </c>
      <c r="F33" s="70" t="s">
        <v>223</v>
      </c>
    </row>
    <row r="34" spans="1:6" ht="18" x14ac:dyDescent="0.35">
      <c r="A34" s="72" t="s">
        <v>19</v>
      </c>
      <c r="E34" s="112" t="s">
        <v>251</v>
      </c>
      <c r="F34" s="111"/>
    </row>
    <row r="35" spans="1:6" ht="18" x14ac:dyDescent="0.35">
      <c r="A35" s="93" t="s">
        <v>25</v>
      </c>
      <c r="B35" s="111"/>
      <c r="E35" s="112" t="s">
        <v>217</v>
      </c>
      <c r="F35" s="111"/>
    </row>
    <row r="36" spans="1:6" ht="18" x14ac:dyDescent="0.35">
      <c r="A36" s="93" t="s">
        <v>26</v>
      </c>
      <c r="B36" s="111"/>
      <c r="E36" s="112" t="s">
        <v>21</v>
      </c>
      <c r="F36" s="111"/>
    </row>
    <row r="37" spans="1:6" ht="18" x14ac:dyDescent="0.35">
      <c r="A37" s="93" t="s">
        <v>27</v>
      </c>
      <c r="B37" s="111"/>
      <c r="E37" s="112" t="s">
        <v>20</v>
      </c>
      <c r="F37" s="111"/>
    </row>
    <row r="38" spans="1:6" ht="18" x14ac:dyDescent="0.35">
      <c r="A38" s="93" t="s">
        <v>28</v>
      </c>
      <c r="B38" s="111"/>
      <c r="E38" s="96"/>
      <c r="F38" s="70"/>
    </row>
    <row r="39" spans="1:6" ht="18" x14ac:dyDescent="0.35">
      <c r="A39" s="93" t="s">
        <v>126</v>
      </c>
      <c r="B39" s="111"/>
      <c r="E39" s="96"/>
      <c r="F39" s="70"/>
    </row>
    <row r="40" spans="1:6" ht="21" x14ac:dyDescent="0.4">
      <c r="A40" s="94" t="s">
        <v>224</v>
      </c>
    </row>
    <row r="41" spans="1:6" x14ac:dyDescent="0.3">
      <c r="A41" s="92" t="s">
        <v>225</v>
      </c>
      <c r="B41" s="92"/>
    </row>
    <row r="42" spans="1:6" x14ac:dyDescent="0.3">
      <c r="A42" s="95" t="s">
        <v>19</v>
      </c>
      <c r="B42" s="92"/>
    </row>
    <row r="43" spans="1:6" x14ac:dyDescent="0.3">
      <c r="A43" s="96" t="s">
        <v>192</v>
      </c>
      <c r="B43" s="70"/>
    </row>
    <row r="44" spans="1:6" x14ac:dyDescent="0.3">
      <c r="A44" s="96" t="s">
        <v>226</v>
      </c>
      <c r="B44" s="70"/>
    </row>
    <row r="45" spans="1:6" x14ac:dyDescent="0.3">
      <c r="A45" s="96" t="s">
        <v>227</v>
      </c>
      <c r="B45" s="70"/>
    </row>
    <row r="46" spans="1:6" x14ac:dyDescent="0.3">
      <c r="A46" s="96" t="s">
        <v>228</v>
      </c>
      <c r="B46" s="70"/>
    </row>
    <row r="47" spans="1:6" x14ac:dyDescent="0.3">
      <c r="A47" s="96" t="s">
        <v>229</v>
      </c>
      <c r="B47" s="70"/>
    </row>
    <row r="48" spans="1:6" x14ac:dyDescent="0.3">
      <c r="A48" s="96" t="s">
        <v>230</v>
      </c>
      <c r="B48" s="70"/>
    </row>
    <row r="49" spans="1:2" x14ac:dyDescent="0.3">
      <c r="A49" s="96" t="s">
        <v>231</v>
      </c>
      <c r="B49" s="70"/>
    </row>
    <row r="50" spans="1:2" x14ac:dyDescent="0.3">
      <c r="A50" s="96" t="s">
        <v>232</v>
      </c>
      <c r="B50" s="70"/>
    </row>
    <row r="51" spans="1:2" x14ac:dyDescent="0.3">
      <c r="A51" s="96" t="s">
        <v>233</v>
      </c>
      <c r="B51" s="70"/>
    </row>
    <row r="52" spans="1:2" x14ac:dyDescent="0.3">
      <c r="A52" s="96" t="s">
        <v>234</v>
      </c>
      <c r="B52" s="70"/>
    </row>
    <row r="53" spans="1:2" x14ac:dyDescent="0.3">
      <c r="A53" s="96" t="s">
        <v>235</v>
      </c>
      <c r="B53" s="70"/>
    </row>
    <row r="54" spans="1:2" x14ac:dyDescent="0.3">
      <c r="A54" s="96" t="s">
        <v>236</v>
      </c>
      <c r="B54" s="70"/>
    </row>
    <row r="55" spans="1:2" x14ac:dyDescent="0.3">
      <c r="A55" s="96" t="s">
        <v>237</v>
      </c>
      <c r="B55" s="70"/>
    </row>
    <row r="56" spans="1:2" x14ac:dyDescent="0.3">
      <c r="A56" s="108" t="s">
        <v>247</v>
      </c>
      <c r="B56" s="103"/>
    </row>
    <row r="57" spans="1:2" x14ac:dyDescent="0.3">
      <c r="A57" s="108" t="s">
        <v>248</v>
      </c>
      <c r="B57" s="103"/>
    </row>
    <row r="58" spans="1:2" x14ac:dyDescent="0.3">
      <c r="A58" s="108" t="s">
        <v>249</v>
      </c>
      <c r="B58" s="103"/>
    </row>
    <row r="59" spans="1:2" x14ac:dyDescent="0.3">
      <c r="A59" s="109"/>
    </row>
    <row r="60" spans="1:2" x14ac:dyDescent="0.3">
      <c r="A60" s="108" t="s">
        <v>144</v>
      </c>
      <c r="B60" s="103"/>
    </row>
    <row r="61" spans="1:2" x14ac:dyDescent="0.3">
      <c r="A61" s="108" t="s">
        <v>250</v>
      </c>
      <c r="B61" s="103"/>
    </row>
    <row r="62" spans="1:2" x14ac:dyDescent="0.3">
      <c r="A62" s="108" t="s">
        <v>118</v>
      </c>
      <c r="B62" s="103"/>
    </row>
    <row r="63" spans="1:2" x14ac:dyDescent="0.3">
      <c r="A63" s="108" t="s">
        <v>252</v>
      </c>
      <c r="B63" s="113"/>
    </row>
    <row r="64" spans="1:2" x14ac:dyDescent="0.3">
      <c r="A64" s="108" t="s">
        <v>253</v>
      </c>
      <c r="B64" s="113"/>
    </row>
    <row r="65" spans="1:2" x14ac:dyDescent="0.3">
      <c r="A65" s="108" t="s">
        <v>263</v>
      </c>
      <c r="B65" s="113"/>
    </row>
    <row r="66" spans="1:2" x14ac:dyDescent="0.3">
      <c r="A66" s="108" t="s">
        <v>254</v>
      </c>
      <c r="B66" s="113"/>
    </row>
    <row r="67" spans="1:2" x14ac:dyDescent="0.3">
      <c r="A67" s="108" t="s">
        <v>255</v>
      </c>
      <c r="B67" s="113"/>
    </row>
    <row r="68" spans="1:2" x14ac:dyDescent="0.3">
      <c r="A68" s="108" t="s">
        <v>256</v>
      </c>
      <c r="B68" s="113"/>
    </row>
    <row r="69" spans="1:2" x14ac:dyDescent="0.3">
      <c r="A69" s="108" t="s">
        <v>257</v>
      </c>
      <c r="B69" s="113"/>
    </row>
    <row r="70" spans="1:2" x14ac:dyDescent="0.3">
      <c r="A70" s="108" t="s">
        <v>258</v>
      </c>
      <c r="B70" s="113"/>
    </row>
    <row r="71" spans="1:2" x14ac:dyDescent="0.3">
      <c r="A71" s="108" t="s">
        <v>259</v>
      </c>
      <c r="B71" s="113"/>
    </row>
    <row r="72" spans="1:2" x14ac:dyDescent="0.3">
      <c r="A72" s="108" t="s">
        <v>260</v>
      </c>
      <c r="B72" s="113"/>
    </row>
    <row r="73" spans="1:2" x14ac:dyDescent="0.3">
      <c r="A73" s="108" t="s">
        <v>261</v>
      </c>
      <c r="B73" s="113"/>
    </row>
    <row r="74" spans="1:2" x14ac:dyDescent="0.3">
      <c r="A74" s="108" t="s">
        <v>262</v>
      </c>
      <c r="B74" s="113"/>
    </row>
    <row r="75" spans="1:2" x14ac:dyDescent="0.3">
      <c r="A75" s="72" t="s">
        <v>264</v>
      </c>
    </row>
    <row r="76" spans="1:2" x14ac:dyDescent="0.3">
      <c r="A76" s="72" t="s">
        <v>265</v>
      </c>
    </row>
    <row r="77" spans="1:2" x14ac:dyDescent="0.3">
      <c r="A77" s="72" t="s">
        <v>266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68</vt:i4>
      </vt:variant>
    </vt:vector>
  </HeadingPairs>
  <TitlesOfParts>
    <vt:vector size="71" baseType="lpstr">
      <vt:lpstr>ОЛ</vt:lpstr>
      <vt:lpstr>Списки</vt:lpstr>
      <vt:lpstr>автоматы и токи</vt:lpstr>
      <vt:lpstr>GSM</vt:lpstr>
      <vt:lpstr>Iномввод</vt:lpstr>
      <vt:lpstr>IномОЛ</vt:lpstr>
      <vt:lpstr>Iномрв</vt:lpstr>
      <vt:lpstr>Iномсекц</vt:lpstr>
      <vt:lpstr>OptidinBM125</vt:lpstr>
      <vt:lpstr>OptidinBM63</vt:lpstr>
      <vt:lpstr>OptiMatD</vt:lpstr>
      <vt:lpstr>OptiMatE</vt:lpstr>
      <vt:lpstr>Uном</vt:lpstr>
      <vt:lpstr>автоматы</vt:lpstr>
      <vt:lpstr>Амперметры</vt:lpstr>
      <vt:lpstr>ВА0436</vt:lpstr>
      <vt:lpstr>ВА4729</vt:lpstr>
      <vt:lpstr>ВА5135</vt:lpstr>
      <vt:lpstr>ВА5139</vt:lpstr>
      <vt:lpstr>ВА5341</vt:lpstr>
      <vt:lpstr>ВА5343</vt:lpstr>
      <vt:lpstr>ВА5541</vt:lpstr>
      <vt:lpstr>ВА5543</vt:lpstr>
      <vt:lpstr>ВА5731</vt:lpstr>
      <vt:lpstr>ВА5735</vt:lpstr>
      <vt:lpstr>ВА5739</vt:lpstr>
      <vt:lpstr>ВА57Ф31</vt:lpstr>
      <vt:lpstr>ВА57Ф35</vt:lpstr>
      <vt:lpstr>ВА8832</vt:lpstr>
      <vt:lpstr>ВА8833</vt:lpstr>
      <vt:lpstr>ВА8835</vt:lpstr>
      <vt:lpstr>ВА8837</vt:lpstr>
      <vt:lpstr>ВА8840</vt:lpstr>
      <vt:lpstr>ВА8843</vt:lpstr>
      <vt:lpstr>ВентТО</vt:lpstr>
      <vt:lpstr>ВНАп</vt:lpstr>
      <vt:lpstr>ВоздухКабель</vt:lpstr>
      <vt:lpstr>Вольтметр</vt:lpstr>
      <vt:lpstr>Выключательввод</vt:lpstr>
      <vt:lpstr>Климат</vt:lpstr>
      <vt:lpstr>КолОЛ</vt:lpstr>
      <vt:lpstr>Колтр</vt:lpstr>
      <vt:lpstr>Комм</vt:lpstr>
      <vt:lpstr>МГ</vt:lpstr>
      <vt:lpstr>Мощность</vt:lpstr>
      <vt:lpstr>НЕТ</vt:lpstr>
      <vt:lpstr>ОПНВН10</vt:lpstr>
      <vt:lpstr>ОПНВН6</vt:lpstr>
      <vt:lpstr>ОПННН</vt:lpstr>
      <vt:lpstr>ПКТ</vt:lpstr>
      <vt:lpstr>ПКТ10</vt:lpstr>
      <vt:lpstr>ПКТ6</vt:lpstr>
      <vt:lpstr>Предохранитель</vt:lpstr>
      <vt:lpstr>разъединительввод</vt:lpstr>
      <vt:lpstr>Разъедсекц</vt:lpstr>
      <vt:lpstr>РБК0</vt:lpstr>
      <vt:lpstr>РБК1</vt:lpstr>
      <vt:lpstr>РБК2</vt:lpstr>
      <vt:lpstr>РБК3</vt:lpstr>
      <vt:lpstr>Схематр</vt:lpstr>
      <vt:lpstr>Счетчик</vt:lpstr>
      <vt:lpstr>ТипОЛ</vt:lpstr>
      <vt:lpstr>ТипСекц</vt:lpstr>
      <vt:lpstr>Типсчетчика</vt:lpstr>
      <vt:lpstr>Типтр</vt:lpstr>
      <vt:lpstr>Тртока</vt:lpstr>
      <vt:lpstr>Тртокаввод</vt:lpstr>
      <vt:lpstr>ТТОЛ</vt:lpstr>
      <vt:lpstr>Тупиковая</vt:lpstr>
      <vt:lpstr>Фидер</vt:lpstr>
      <vt:lpstr>Фотореле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Четвертня Никколай Николаевич</cp:lastModifiedBy>
  <cp:lastPrinted>2022-04-14T07:33:05Z</cp:lastPrinted>
  <dcterms:created xsi:type="dcterms:W3CDTF">2017-02-07T04:37:51Z</dcterms:created>
  <dcterms:modified xsi:type="dcterms:W3CDTF">2022-10-21T06:56:17Z</dcterms:modified>
</cp:coreProperties>
</file>